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zytaj najpierw" sheetId="1" r:id="rId1"/>
    <sheet name="Założenia" sheetId="2" r:id="rId2"/>
    <sheet name="Remont" sheetId="3" r:id="rId3"/>
    <sheet name="Nadbudowa" sheetId="4" r:id="rId4"/>
    <sheet name="Kalkulacja" sheetId="5" r:id="rId5"/>
    <sheet name="Scenariusze" sheetId="6" r:id="rId6"/>
    <sheet name="Wrażliwość" sheetId="7" r:id="rId7"/>
    <sheet name="Rynek" sheetId="8" r:id="rId8"/>
    <sheet name="Źródła" sheetId="9" r:id="rId9"/>
  </sheets>
  <definedNames>
    <definedName name="_xlnm._FilterDatabase" localSheetId="3" hidden="1">Nadbudowa!$A$4:$J$54</definedName>
    <definedName name="_xlnm._FilterDatabase" localSheetId="2" hidden="1">Remont!$A$4:$J$30</definedName>
    <definedName name="_xlnm.Print_Area" localSheetId="3">Nadbudowa!$A$1:$J$57</definedName>
    <definedName name="_xlnm.Print_Area" localSheetId="2">Remont!$A$1:$J$33</definedName>
    <definedName name="_xlnm.Print_Titles" localSheetId="3">Nadbudowa!$4:$4</definedName>
    <definedName name="_xlnm.Print_Titles" localSheetId="2">Remont!$4:$4</definedName>
  </definedNames>
  <calcPr calcId="124519" fullCalcOnLoad="1"/>
</workbook>
</file>

<file path=xl/sharedStrings.xml><?xml version="1.0" encoding="utf-8"?>
<sst xmlns="http://schemas.openxmlformats.org/spreadsheetml/2006/main" count="543" uniqueCount="377">
  <si>
    <t>Sztuki 15 — policzalny potencjał</t>
  </si>
  <si>
    <t>10.09.2026. Budżet koncepcyjny brutto: remont istniejącego domu + nowe mieszkanie 50 m² + taras 50 m² na dachu. Ilości i ceny wymagają weryfikacji na miejscu oraz ofert wykonawców.</t>
  </si>
  <si>
    <t>Niebieskie pola w Założeniach i kosztorysach są edytowalne. Pozostałe kwoty w Kalkulacji są formułami. Arkusze Scenariusze i Wrażliwość pokazują zapisane warianty bazowego raportu i nie przeliczają się po zmianie Założeń.</t>
  </si>
  <si>
    <t>Bazowo: nakład 2 728 071,95 zł; zakup gotowych z opłatami 3 345 053,70 zł; oszczędność 18,44%; ROI odsprzedaży po prowizji 16,41% za 24 miesiące przed PIT/CIT i ewentualnym VAT należnym. Koszt finansowania domyślnie 0 zł.</t>
  </si>
  <si>
    <t>Oszczędność = różnica kosztu porównawczego zakupu i projektu / koszt porównawczego zakupu. ROI = zysk ze sprzedaży po prowizji / nakład projektu. To osobne alternatywy, nie wyniki do dodania.</t>
  </si>
  <si>
    <t>Przy 17 000 zł/m² dla istniejących lokali i 1 062 500 zł za nowe 50 m² z tarasem 50 m² oszczędność wynosi 20,01%, lecz ROI 18,71%. Ceny są założeniami, nie gwarancją ani danymi transakcyjnymi.</t>
  </si>
  <si>
    <t>Powierzchnie 69,52 + 58,87 m² są sumą pomieszczeń z materiałów, nie urzędowo potwierdzoną powierzchnią użytkową. 302,78 m² z ogłoszenia obejmuje też zaplecze i nie jest podstawą cen mieszkań. Garaż i większe zaplecze wyceniono raz: 75 000 zł.</t>
  </si>
  <si>
    <t>Piwnica pozostaje gospodarcza. Ocieplenie istniejące zakładamy do zachowania, z naprawami i malowaniem. Pełny nowy ETICS pokazano jako oddzielny przyrost kosztu +55 000 zł; poważne naprawy konstrukcji/wilgoci +150 000 zł są osobnym scenariuszem.</t>
  </si>
  <si>
    <t>Nadbudowa, taras i trzeci lokal wymagają potwierdzenia konstrukcji, planu i formalności. Wyjście na dach, komunikacja i PV muszą zmieścić się w projekcie zachowując przyjęte powierzchnie. Nie ma tu zatwierdzonego projektu ani gwarancji podziału.</t>
  </si>
  <si>
    <t>VAT: 8% warunkowo na kwalifikujące kompleksowe usługi mieszkaniowe; 23% m.in. na AGD, meble, projekt i wskazane prace zewnętrzne. Bez odliczenia VAT. Zakup domu: PCC 2% bez zwolnienia. Sprzedaż wymaga odrębnego ustalenia PIT/CIT i VAT należnego.</t>
  </si>
  <si>
    <t>Rezerwy są już w sumach: remont 15%, nadbudowa 12%. Stress +15% liczy podwyżkę ponad te rezerwy. Nie wyceniono własnej pracy inwestora, alternatywnego zwrotu z kapitału ani tymczasowego mieszkania.</t>
  </si>
  <si>
    <t>Scenariusz bez tarasu: nowy lokal 850 000 zł; z tarasem 1 062 500 zł. Premia 25% jest założeniem. Koszt tarasu 150 998,40 zł z rezerwą; próg premii po prowizji około 154 806,64 zł. Brak pary transakcji potwierdzającej premię.</t>
  </si>
  <si>
    <t>Pełny raport, zakresy i źródła na stronie</t>
  </si>
  <si>
    <t>Edytowalne założenia</t>
  </si>
  <si>
    <t>Cena zakupu domu</t>
  </si>
  <si>
    <t>Cena ofertowa; zakup gotówkowy w bazie</t>
  </si>
  <si>
    <t>PCC przy zakupie domu</t>
  </si>
  <si>
    <t>Bez zwolnienia</t>
  </si>
  <si>
    <t>Notariusz, opłaty i weryfikacja zakupu</t>
  </si>
  <si>
    <t>Budżet</t>
  </si>
  <si>
    <t>Rezerwa remontu</t>
  </si>
  <si>
    <t>Doliczana do brutto kosztorysu</t>
  </si>
  <si>
    <t>Rezerwa nadbudowy</t>
  </si>
  <si>
    <t>Cena m² gotowego mieszkania na parterze</t>
  </si>
  <si>
    <t>Osobna stawka parteru; piętro w wierszu 22</t>
  </si>
  <si>
    <t>Cena nowego mieszkania 50 m² z tarasem 50 m²</t>
  </si>
  <si>
    <t>Założenie, nie transakcja</t>
  </si>
  <si>
    <t>Garaż i większe zaplecze</t>
  </si>
  <si>
    <t>Jeden pakiet; bez drugiej wartości działki</t>
  </si>
  <si>
    <t>Czas realizacji, miesiące</t>
  </si>
  <si>
    <t>ROI za ten okres, nie roczne</t>
  </si>
  <si>
    <t>Utrzymanie, zł/miesiąc</t>
  </si>
  <si>
    <t>Bez dochodu z najmu</t>
  </si>
  <si>
    <t>Podział i dokumentacja lokali</t>
  </si>
  <si>
    <t>Po potwierdzeniu możliwości</t>
  </si>
  <si>
    <t>Łączny koszt finansowania</t>
  </si>
  <si>
    <t>Gotówka domyślnie; można wpisać odsetki i opłaty</t>
  </si>
  <si>
    <t>Prowizja sprzedaży brutto</t>
  </si>
  <si>
    <t>2% + 23% VAT</t>
  </si>
  <si>
    <t>PCC w porównawczym zakupie gotowych</t>
  </si>
  <si>
    <t>Zmiana na 0 dla porównania bez PCC</t>
  </si>
  <si>
    <t>Opłaty nabycia trzech gotowych lokali</t>
  </si>
  <si>
    <t>Budżet porównawczy</t>
  </si>
  <si>
    <t>Powierzchnia pomieszczeń lokalu na parterze</t>
  </si>
  <si>
    <t>Do pomiaru</t>
  </si>
  <si>
    <t>Powierzchnia pomieszczeń lokalu na piętrze</t>
  </si>
  <si>
    <t>Docelowa oszczędność / ROI do obliczenia progu</t>
  </si>
  <si>
    <t>Dwa osobne progi w Kalkulacji</t>
  </si>
  <si>
    <t>Cena m² gotowego mieszkania na piętrze</t>
  </si>
  <si>
    <t>Niezależna od stawki parteru; założenie środkowe</t>
  </si>
  <si>
    <t>Remont — budżet brutto</t>
  </si>
  <si>
    <t>Niebieskie: ilość, cena jedn. netto, VAT. Kwoty są założeniami; źródła i granice zakresu w opisie.</t>
  </si>
  <si>
    <t>Grupa</t>
  </si>
  <si>
    <t>Praca / wyposażenie</t>
  </si>
  <si>
    <t>Ilość</t>
  </si>
  <si>
    <t>Jedn.</t>
  </si>
  <si>
    <t>Cena jedn. netto</t>
  </si>
  <si>
    <t>Razem netto</t>
  </si>
  <si>
    <t>VAT %</t>
  </si>
  <si>
    <t>VAT zł</t>
  </si>
  <si>
    <t>Brutto</t>
  </si>
  <si>
    <t>Zakres i źródło</t>
  </si>
  <si>
    <t>Wnętrza</t>
  </si>
  <si>
    <t>Rozbiórki wykończenia i wywóz</t>
  </si>
  <si>
    <t>m²</t>
  </si>
  <si>
    <t>R 1; założenie pakietowe, bez rozbiórki dachu i stropu</t>
  </si>
  <si>
    <t>Instalacje</t>
  </si>
  <si>
    <t>Elektryka: nowe punkty</t>
  </si>
  <si>
    <t>pkt</t>
  </si>
  <si>
    <t>R 1; ilość budżetowa, do projektu</t>
  </si>
  <si>
    <t>Dwie rozdzielnie i pomiary</t>
  </si>
  <si>
    <t>kpl.</t>
  </si>
  <si>
    <t>Założenie, instalacja nowej kondygnacji osobno</t>
  </si>
  <si>
    <t>Woda i kanalizacja w dwóch lokalach</t>
  </si>
  <si>
    <t>R 1; wraz z podejściami, bez nowego przyłącza z ulicy</t>
  </si>
  <si>
    <t>Modernizacja ogrzewania dwóch mieszkań</t>
  </si>
  <si>
    <t>Kocioł, osprzęt i rozprowadzenie/grzejniki; zakres do doboru</t>
  </si>
  <si>
    <t>Miejscowa naprawa tynków</t>
  </si>
  <si>
    <t>R 1; nie zakłada skucia wszystkich tynków</t>
  </si>
  <si>
    <t>Gładzie i przygotowanie ścian</t>
  </si>
  <si>
    <t>R 1/R 2; powierzchnia ścian i sufitów do pomiaru</t>
  </si>
  <si>
    <t>Gruntowanie i malowanie</t>
  </si>
  <si>
    <t>R 1/R 2; prosty trwały standard</t>
  </si>
  <si>
    <t>Naprawa i wyrównanie podłoży</t>
  </si>
  <si>
    <t>Założenie; bez wymiany konstrukcji stropu</t>
  </si>
  <si>
    <t>Podłogi i listwy</t>
  </si>
  <si>
    <t>R 1; poza podłogami mokrymi liczonymi w płytkach</t>
  </si>
  <si>
    <t>Płytki: łazienki i strefy kuchenne</t>
  </si>
  <si>
    <t>R 1/R 2; prosty format, rabat pakietowy jest założeniem</t>
  </si>
  <si>
    <t>Hydroizolacja stref mokrych</t>
  </si>
  <si>
    <t>System z narożami, nie obejmuje tarasów</t>
  </si>
  <si>
    <t>Wyposażenie</t>
  </si>
  <si>
    <t>Dwie łazienki: sanitariaty i biały montaż</t>
  </si>
  <si>
    <t>R 2; instalacje, płytki i hydroizolacja w osobnych wierszach</t>
  </si>
  <si>
    <t>Dwie kuchnie: stała zabudowa i montaż</t>
  </si>
  <si>
    <t>Budżet prostych zabudów;8% warunkowe, AGD osobno 23%</t>
  </si>
  <si>
    <t>AGD do dwóch mieszkań</t>
  </si>
  <si>
    <t>Lodówka, piekarnik/płyta, zmywarka i pralka; zestaw podstawowy</t>
  </si>
  <si>
    <t>Stolarka</t>
  </si>
  <si>
    <t>Drzwi wewnętrzne z montażem</t>
  </si>
  <si>
    <t>szt.</t>
  </si>
  <si>
    <t>R 1; ilość i standard budżetowe</t>
  </si>
  <si>
    <t>Wymiana okien istniejących mieszkań</t>
  </si>
  <si>
    <t>Założony metraż, bez nowego HST i przebudowy werandy</t>
  </si>
  <si>
    <t>Dwoje drzwi wejściowych</t>
  </si>
  <si>
    <t>Klasy wymagane po podziale do projektu</t>
  </si>
  <si>
    <t>Części wspólne</t>
  </si>
  <si>
    <t>Remont istniejącej klatki schodowej</t>
  </si>
  <si>
    <t>Posadzki, ściany i poręcze; dostęp do nowej kondygnacji osobno</t>
  </si>
  <si>
    <t>Piwnica i garaż</t>
  </si>
  <si>
    <t>Remont użytkowy piwnicy i garażu</t>
  </si>
  <si>
    <t>Zaplecze gospodarcze, nie mieszkanie; posadzki i ściany</t>
  </si>
  <si>
    <t>Lokalne naprawy wilgoci i izolacji</t>
  </si>
  <si>
    <t>Kwota warunkowa do diagnozy; bez pełnego odkopywania fundamentów</t>
  </si>
  <si>
    <t>Elewacja i otoczenie</t>
  </si>
  <si>
    <t>Naprawa i malowanie istniejącej elewacji</t>
  </si>
  <si>
    <t>R 3; ocieplenie według ogłoszenia istnieje; brak pełnego nowego ETICS</t>
  </si>
  <si>
    <t>Brama i odwodnienie wjazdu do garażu</t>
  </si>
  <si>
    <t>Założenie poza zakresem odnowienia ścian i podłóg piwnicy</t>
  </si>
  <si>
    <t>Remont istniejącego tarasu 11,55 m²</t>
  </si>
  <si>
    <t>Hydroizolacja, posadzka i miejscowe naprawy; taras 50 m² osobno</t>
  </si>
  <si>
    <t>Ogrodzenie, dojście i uporządkowanie ogrodu</t>
  </si>
  <si>
    <t>Zakres podstawowy, bez całkowitej wymiany ogrodzenia</t>
  </si>
  <si>
    <t>Podstawowe meble wolnostojące i lampy</t>
  </si>
  <si>
    <t>Doposażenie gotowe do użytkowania; kuchnie i AGD powyżej</t>
  </si>
  <si>
    <t>Suma prac i wyposażenia</t>
  </si>
  <si>
    <t>Rezerwa</t>
  </si>
  <si>
    <t>RAZEM Z REZERWĄ</t>
  </si>
  <si>
    <t>Nadbudowa — budżet brutto</t>
  </si>
  <si>
    <t>Przygotowanie</t>
  </si>
  <si>
    <t>Inwentaryzacja techniczna</t>
  </si>
  <si>
    <t>Pełny budynek; założony ryczałt, nie 50 m² × stawka.</t>
  </si>
  <si>
    <t>Ekspertyza i odkrywki</t>
  </si>
  <si>
    <t>Nośność stropu, ścian i fundamentów; bez rozległych badań gruntu.</t>
  </si>
  <si>
    <t>Projekt, branże i uzgodnienia</t>
  </si>
  <si>
    <t>Budżet do potwierdzenia; nadbudowa + ingerencje w część istniejącą.</t>
  </si>
  <si>
    <t>Nadzór, odbiory i dokumentacja końcowa</t>
  </si>
  <si>
    <t>Założenie własne. Podział notarialny lokali pozostaje oddzielnie w ROI.</t>
  </si>
  <si>
    <t>Demontaż dachu i niskiego poddasza</t>
  </si>
  <si>
    <t>Nie zakłada rozbiórki lub wymiany całego stropu.</t>
  </si>
  <si>
    <t>Tymczasowe zabezpieczenie przed deszczem</t>
  </si>
  <si>
    <t>Założenie; plan rozbiórki i zamknięcia dachu ma ograniczyć zalanie.</t>
  </si>
  <si>
    <t>Transport, HDS, rusztowanie, kontenery</t>
  </si>
  <si>
    <t>Ryczałt logistyczny; zależny od dojazdu i zajęcia pasa drogowego.</t>
  </si>
  <si>
    <t>Lokalne wzmocnienia i podparcia</t>
  </si>
  <si>
    <t>Jawna kwota warunkowa. Nie potwierdzono potrzeby ani wystarczalności wzmocnień.</t>
  </si>
  <si>
    <t>Demontaż i ponowny montaż PV</t>
  </si>
  <si>
    <t>Bez nowych paneli i falownika; miejsce na PV musi pozostać.</t>
  </si>
  <si>
    <t>SSZ ocieplony</t>
  </si>
  <si>
    <t>Drewno KVH/C 24, ściany, działówki i dach</t>
  </si>
  <si>
    <t>m³</t>
  </si>
  <si>
    <t>Przedmiar budżetowy z zapasem; przekroje i ilość dopiero z projektu.</t>
  </si>
  <si>
    <t>Łączniki konstrukcyjne i zakotwienia</t>
  </si>
  <si>
    <t>Założenie materiałowe; bez zastępowania obliczeń kotew.</t>
  </si>
  <si>
    <t>Prefabrykacja i montaż szkieletu</t>
  </si>
  <si>
    <t>Założenie dla zorganizowanej ekipy; praca nie jest wyceniona na zero.</t>
  </si>
  <si>
    <t>Poszycie usztywniające ścian i dachu</t>
  </si>
  <si>
    <t>m² płyt</t>
  </si>
  <si>
    <t>Ilość z odpadem, bez podłogi ujętej osobno; specyfikacja do projektu.</t>
  </si>
  <si>
    <t>Wełna w ścianach zewnętrznych</t>
  </si>
  <si>
    <t>Przybliżony odpowiednik 200 mm; nie jest obliczeniem U całej ściany.</t>
  </si>
  <si>
    <t>Ciągła dodatkowa izolacja ścian</t>
  </si>
  <si>
    <t>Dobór materiału i grubości do mostków oraz systemu fasady.</t>
  </si>
  <si>
    <t>Ocieplenie dachu</t>
  </si>
  <si>
    <t>Budżet około 300 mm; dobór do konkretnego przekroju i kondensacji.</t>
  </si>
  <si>
    <t>Wypełnienie akustyczne działówek</t>
  </si>
  <si>
    <t>Założenie ilości, bez obietnicy określonej izolacyjności akustycznej.</t>
  </si>
  <si>
    <t>Membrany, taśmy i szczelne połączenia</t>
  </si>
  <si>
    <t>m² przegród</t>
  </si>
  <si>
    <t>Obejmuje warstwy kontroli pary/wietrzenia, nie pokrycie dachowe.</t>
  </si>
  <si>
    <t>Fasada: płyta zewnętrzna i system wykończenia</t>
  </si>
  <si>
    <t>Płyta do zastosowań zewnętrznych, ruszt/akcesoria, warstwa wykończeniowa; nie Indoor i nie Rocko.</t>
  </si>
  <si>
    <t>Prosty dach: hydroizolacja i obróbki</t>
  </si>
  <si>
    <t>Pokrycie nad nowym lokalem i odkryte fragmenty starego dachu; konstrukcja i izolacja osobno.</t>
  </si>
  <si>
    <t>Odwodnienie i detale dachu</t>
  </si>
  <si>
    <t>Wpusty/rynny, przelewy i obróbki; ryczałt do projektu.</t>
  </si>
  <si>
    <t>Standardowe okna trzyszybowe</t>
  </si>
  <si>
    <t>Budżet, bez dużego HST i szkła narożnego.</t>
  </si>
  <si>
    <t>Drzwi wejściowe do nowego lokalu</t>
  </si>
  <si>
    <t>Klasa pożarowa, jeśli wymagana, może podnieść cenę.</t>
  </si>
  <si>
    <t>Deweloperski</t>
  </si>
  <si>
    <t>Okładziny gipsowo-włóknowe</t>
  </si>
  <si>
    <t>Materiał 50 zł +10 zł akcesoria; ilość uwzględnia dodatkowe warstwy. Nie karton-gips.</t>
  </si>
  <si>
    <t>Płyty cementowe w strefach mokrych</t>
  </si>
  <si>
    <t>Płyta 95 zł +10 zł akcesoria; uszczelnienie i wykończenie osobno.</t>
  </si>
  <si>
    <t>Sucha podłoga i warstwa akustyczna</t>
  </si>
  <si>
    <t>Podkład nośny/rozdzielczy i izolacja; bez wymiany stropu i bez posadzki dekoracyjnej.</t>
  </si>
  <si>
    <t>Instalacja elektryczna</t>
  </si>
  <si>
    <t>Proste punkty; plan obwodów, osprzęt i pomiary muszą wejść do umowy.</t>
  </si>
  <si>
    <t>Rozdzielnia, pomiary i osprzęt dodatkowy</t>
  </si>
  <si>
    <t>Bez osobnego przyłącza z ulicy.</t>
  </si>
  <si>
    <t>Instalacja wodno-kanalizacyjna</t>
  </si>
  <si>
    <t>Łazienka i kuchnia przy istniejących pionach.</t>
  </si>
  <si>
    <t>Podejścia do istniejących mediów</t>
  </si>
  <si>
    <t>Bez przebudowy przyłącza i zwiększenia mocy sieci.</t>
  </si>
  <si>
    <t>Ogrzewanie: prosty układ powietrze–powietrze</t>
  </si>
  <si>
    <t>Założenie kosztowe; dobór mocy, ciepła w łazience i zgodności energetycznej do projektu.</t>
  </si>
  <si>
    <t>Ciepła woda użytkowa</t>
  </si>
  <si>
    <t>Niewielki zasobnik; może zostać zastąpiony korzystnym wspólnym źródłem.</t>
  </si>
  <si>
    <t>Wentylacja i uruchomienie</t>
  </si>
  <si>
    <t>Budżet dla małego lokalu; klimatyzacja nie zastępuje wentylacji.</t>
  </si>
  <si>
    <t>Wykończenie</t>
  </si>
  <si>
    <t>Posadzki i listwy</t>
  </si>
  <si>
    <t>Podstawowy trwały standard, podłoże w pozycji sucha podłoga.</t>
  </si>
  <si>
    <t>m² powierzchni</t>
  </si>
  <si>
    <t>Spoiny podstawowe są w montażu płyt; wyższy standard Q 4 osobno.</t>
  </si>
  <si>
    <t>Prosta ceramika w łazience</t>
  </si>
  <si>
    <t>Materiał wraz z klejem/fugą i odpadem; montaż pakietowy jest założeniem.</t>
  </si>
  <si>
    <t>Uszczelnienie stref mokrych</t>
  </si>
  <si>
    <t>System hydroizolacji, naroża i przejścia; wodoodporność płyty tego nie usuwa.</t>
  </si>
  <si>
    <t>Standardowe rozmiary i ościeżnice.</t>
  </si>
  <si>
    <t>Sanitariaty i biały montaż</t>
  </si>
  <si>
    <t>Prysznic, WC, umywalka i armatura; meble kuchenne/AGD w osobnym wyposażeniu najmu.</t>
  </si>
  <si>
    <t>Dostosowanie wejścia, schodów i zabezpieczeń</t>
  </si>
  <si>
    <t>Dodatkowo dla trzeciego lokalu. Zakłada wykorzystanie istniejącej klatki; bez nowej zewnętrznej klatki/windy.</t>
  </si>
  <si>
    <t>Taras 50 m²</t>
  </si>
  <si>
    <t>Projekt tarasu i wejścia</t>
  </si>
  <si>
    <t>Budżet koncepcyjny z analizy tarasu 50 m²; tylko koszt dodatkowy ponad zwykły dach. Prywatne schody ujęte w docelowych 50 m² lokalu; geometria i wyjście zamykane nieprzeszkloną pokrywą do projektu i oferty.</t>
  </si>
  <si>
    <t>Dodatkowa nośność dachu użytkowego</t>
  </si>
  <si>
    <t>Dopłata do hydroizolacji tarasu</t>
  </si>
  <si>
    <t>Posadzka tarasu na podkonstrukcji</t>
  </si>
  <si>
    <t>Pełna attyka i obróbki — kwota do ponownej wyceny</t>
  </si>
  <si>
    <t>mb</t>
  </si>
  <si>
    <t>Zmieniony zakres: pełna osłona bez szkła. Pozostawiono wcześniejszą kwotę 24 000 zł netto jako prowizoryczny budżet, NIE zweryfikowaną cenę attyki. Długość, konstrukcja, masa, obróbki i mocowania wymagają przedmiaru oraz nowej oferty; B 3 nie wycenia tego rozwiązania.</t>
  </si>
  <si>
    <t>Schody i bezpieczne wyjście na dach</t>
  </si>
  <si>
    <t>Dodatkowa reorganizacja PV przy tarasie</t>
  </si>
  <si>
    <t>Doposażenie nowego lokalu</t>
  </si>
  <si>
    <t>Kuchnia nowego lokalu: zabudowa i montaż</t>
  </si>
  <si>
    <t>Dopisane względem poprzedniego wariantu sprzedaży, aby porównać mieszkania gotowe do użytkowania.</t>
  </si>
  <si>
    <t>AGD nowego lokalu</t>
  </si>
  <si>
    <t>Meble wolnostojące i lampy nowego lokalu</t>
  </si>
  <si>
    <t>Oszczędność i ROI — dwa wyniki</t>
  </si>
  <si>
    <t>Zakup domu</t>
  </si>
  <si>
    <t>PCC od domu</t>
  </si>
  <si>
    <t>Pozostałe koszty nabycia</t>
  </si>
  <si>
    <t>Remont z rezerwą</t>
  </si>
  <si>
    <t>Nadbudowa z tarasem i rezerwą</t>
  </si>
  <si>
    <t>Podział</t>
  </si>
  <si>
    <t>Utrzymanie</t>
  </si>
  <si>
    <t>Finansowanie</t>
  </si>
  <si>
    <t>ŁĄCZNY NAKŁAD</t>
  </si>
  <si>
    <t>Gotowy lokal na parterze</t>
  </si>
  <si>
    <t>Gotowy lokal na piętrze</t>
  </si>
  <si>
    <t>Nowy lokal z tarasem</t>
  </si>
  <si>
    <t>WARTOŚĆ GOTOWYCH NIERUCHOMOŚCI</t>
  </si>
  <si>
    <t>Koszt zakupu gotowych z PCC i opłatami</t>
  </si>
  <si>
    <t>Oszczędność kwotowa</t>
  </si>
  <si>
    <t>OSZCZĘDNOŚĆ / koszt zakupu gotowych</t>
  </si>
  <si>
    <t>Różnica / same ceny nieruchomości bez opłat</t>
  </si>
  <si>
    <t>Alternatywna sprzedaż całości</t>
  </si>
  <si>
    <t>Prowizja sprzedaży</t>
  </si>
  <si>
    <t>Zysk przed PIT/CIT i ewentualnym VAT należnym</t>
  </si>
  <si>
    <t>ROI ZE SPRZEDAŻY / nakład</t>
  </si>
  <si>
    <t>Marża / cena sprzedaży</t>
  </si>
  <si>
    <t>Koszt gotowych z opłatami dla docelowej oszczędności</t>
  </si>
  <si>
    <t>Ceny gotowych bez opłat dla docelowej oszczędności</t>
  </si>
  <si>
    <t>Cena sprzedaży dla docelowego ROI</t>
  </si>
  <si>
    <t>To oszczędność przy nabyciu na własny użytek.</t>
  </si>
  <si>
    <t>Za czas projektu z Założeń. Przed podatkami od sprzedaży, po wpisanym finansowaniu. Nie jest roczne.</t>
  </si>
  <si>
    <t>Scenariusze — zapisane warianty bazowe</t>
  </si>
  <si>
    <t>Te wyniki nie zmieniają się po edycji Założeń. Własny wariant licz w Kalkulacji.</t>
  </si>
  <si>
    <t>Wariant</t>
  </si>
  <si>
    <t>Nakład</t>
  </si>
  <si>
    <t>Cena starych zł/m²</t>
  </si>
  <si>
    <t>Cena nowego</t>
  </si>
  <si>
    <t>Oszczędność %</t>
  </si>
  <si>
    <t>Zysk przed podatkami</t>
  </si>
  <si>
    <t>ROI %</t>
  </si>
  <si>
    <t>Niższe ceny porównawcze</t>
  </si>
  <si>
    <t>Scenariusz środkowy</t>
  </si>
  <si>
    <t>Przykład około 20% oszczędności</t>
  </si>
  <si>
    <t>Wyższe ceny porównawcze</t>
  </si>
  <si>
    <t>Wrażliwość — zapisane warianty bazowe</t>
  </si>
  <si>
    <t>Robót i wyposażenia o 15% drożej</t>
  </si>
  <si>
    <t>Ceny sprzedaży niższe o 5%</t>
  </si>
  <si>
    <t>Robót +15% i ceny sprzedaży −5%</t>
  </si>
  <si>
    <t>Porównanie zakupu gotowych bez PCC</t>
  </si>
  <si>
    <t>Pełny nowy ETICS zamiast napraw elewacji: +55000 zł</t>
  </si>
  <si>
    <t>Dodatkowe poważne naprawy konstrukcji/wilgoci: +150000 zł</t>
  </si>
  <si>
    <t>Oferty porównawcze — odczyt 10.09.2026</t>
  </si>
  <si>
    <t>Ceny ofertowe, nie transakcyjne. Mała próba; różne metraże, standard i dodatki. Stawki modelu pozostają założeniami.</t>
  </si>
  <si>
    <t>Lokalizacja</t>
  </si>
  <si>
    <t>Mieszkanie m²</t>
  </si>
  <si>
    <t>Cena ofertowa zł</t>
  </si>
  <si>
    <t>Cena / m²</t>
  </si>
  <si>
    <t>Budynek</t>
  </si>
  <si>
    <t>Standard i dodatki</t>
  </si>
  <si>
    <t>Różnice wobec Sztuki 15</t>
  </si>
  <si>
    <t>Źródło</t>
  </si>
  <si>
    <t>Fundamentowa</t>
  </si>
  <si>
    <t>1964</t>
  </si>
  <si>
    <t>Po pełnym remoncie; 3 pokoje, balkon i piwnica ok. 6 m². Wyposażenie i AGD w opisie; bez garażu.</t>
  </si>
  <si>
    <t>Zbliżony metraż do piętra. Mieszkanie w bloku, bez własnego ogrodu.</t>
  </si>
  <si>
    <t>Adresowo · oferta właściciela</t>
  </si>
  <si>
    <t>Garwolińska</t>
  </si>
  <si>
    <t>1963</t>
  </si>
  <si>
    <t>Do wprowadzenia; 3 pokoje, balkon, piwnica 8,4 m². Brak windy. Bez garażu; zakres ruchomego wyposażenia niepotwierdzony.</t>
  </si>
  <si>
    <t>Mniejszy lokal; nie przenosimy automatycznie jego stawki na 69,52 m².</t>
  </si>
  <si>
    <t>REALS · oferta biura</t>
  </si>
  <si>
    <t>Grenadierów</t>
  </si>
  <si>
    <t>lata 60.</t>
  </si>
  <si>
    <t>Do zamieszkania lub remontu według opisu; 3 pokoje, balkon, piwnica, bez windy. Cena bez wskazanej osobnej dopłaty za garaż; garażu nie podano.</t>
  </si>
  <si>
    <t>Punkt odniesienia dla niższego standardu, nie równoważny pełnemu remontowi.</t>
  </si>
  <si>
    <t>Morizon · oferta LOCO</t>
  </si>
  <si>
    <t>Ostrobramska · balkon</t>
  </si>
  <si>
    <t>2018</t>
  </si>
  <si>
    <t>2 pokoje, balkon i komórka; budynek z windą. Zakres remontu nieustalony. Parking ogólnodostępny; brak garażu w pakiecie.</t>
  </si>
  <si>
    <t>Nowszy budynek; balkon nie odpowiada tarasowi na dachu 50 m².</t>
  </si>
  <si>
    <t>Adresowo · oferta Piórek House</t>
  </si>
  <si>
    <t>Ostrobramska 126 · taras</t>
  </si>
  <si>
    <t>2015</t>
  </si>
  <si>
    <t>Gotowe do zamieszkania; taras 14 m², 2. piętro. Komórka w cenie; opcjonalny garaż +69 000 zł.</t>
  </si>
  <si>
    <t>Taras przy mieszkaniu. Inny metraż i układ niż 50 m² tarasu na dachu.</t>
  </si>
  <si>
    <t>Majdańska · taras 50 m²</t>
  </si>
  <si>
    <t>1999</t>
  </si>
  <si>
    <t>Urządzone, do wprowadzenia; taras 50 m²; brak windy. Miejsce garażowe w cenie.</t>
  </si>
  <si>
    <t>Mieszkanie większe o 20 m²; pakiet z garażem. Nie wyodrębnia ceny samego tarasu.</t>
  </si>
  <si>
    <t>OLX · oferta właściciela</t>
  </si>
  <si>
    <t>ID</t>
  </si>
  <si>
    <t>Adres</t>
  </si>
  <si>
    <t>Status i zastosowanie</t>
  </si>
  <si>
    <t>R1</t>
  </si>
  <si>
    <t>ADREM — cennik robocizny, netto</t>
  </si>
  <si>
    <t>https://adrem.org.pl/cennik/</t>
  </si>
  <si>
    <t>Punkt elektryczny od 150 zł, płytki od 170 zł/m², malowanie od 20 zł/m². Stawki naszego budżetu są założeniami dla zlecenia pakietowego, nie ofertą ADREM.</t>
  </si>
  <si>
    <t>R2</t>
  </si>
  <si>
    <t>ALBIN — remonty Warszawa 2026</t>
  </si>
  <si>
    <t>https://albin.com.pl/blog/ile-kosztuje-remont-mieszkania-w-warszawie-w-2025/</t>
  </si>
  <si>
    <t>Orientacyjny standard średni 2500–3300 zł/m², rezerwa 10–15%; częściowa wymiana instalacji. Punkt kontroli rzędu kosztów, a nie zamiennik przedmiaru domu.</t>
  </si>
  <si>
    <t>R3</t>
  </si>
  <si>
    <t>CHATOS — elewacja i docieplenie</t>
  </si>
  <si>
    <t>https://chatos.pl/cennik/</t>
  </si>
  <si>
    <t>Malowanie elewacji 50–100 zł/m² netto; pełny ETICS EPS 250–400 zł/m² netto. Przyjęto naprawę istniejącego ocieplenia; pełną wymianę pokazano jako osobną zmianę zakresu.</t>
  </si>
  <si>
    <t>B1</t>
  </si>
  <si>
    <t>WOODPECKER — Aligator 50 m², kosztorys producenta</t>
  </si>
  <si>
    <t>https://www.domekidom.com/wp-content/uploads/2026/04/Oferta-Aligator-5-m-DEWELOPERSKI-03.2026.pdf</t>
  </si>
  <si>
    <t>Źródło wcześniejszej analizy z 10.09.2026: deweloperski bez fundamentu 202640 zł brutto. W tym ponownym odczycie PDF niedostępny; nie jest ofertą nadbudowy na istniejącym domu.</t>
  </si>
  <si>
    <t>B2</t>
  </si>
  <si>
    <t>Wood Idea — drewno KVH</t>
  </si>
  <si>
    <t>https://woodidea.pl/drewno-kvh</t>
  </si>
  <si>
    <t>Punkt materiałowy wcześniejszego kosztorysu; ilości i stawki nadbudowy przeniesiono z jego jawnego przedmiaru, bez nowej oferty wykonawcy.</t>
  </si>
  <si>
    <t>B3</t>
  </si>
  <si>
    <t>Bunto Home — historyczne odniesienie dla wariantu szklanego</t>
  </si>
  <si>
    <t>https://balustrada-szklana.pl/balustrada-szklana-cennik/</t>
  </si>
  <si>
    <t>Odczyt 10.09.2026: szkło na stalowych słupkach 769–1000 zł netto/mb. Nowa koncepcja zakłada pełną attykę bez szkła. To źródło nie wycenia attyki; dotychczasowe 24 000 zł netto pozostaje wyłącznie kwotą budżetową do zastąpienia ofertą na zmieniony zakres.</t>
  </si>
  <si>
    <t>T1</t>
  </si>
  <si>
    <t>Ministerstwo Finansów — stawki PCC</t>
  </si>
  <si>
    <t>https://www.podatki.gov.pl/podatki-osobiste/pcc/stawki-i-limity</t>
  </si>
  <si>
    <t>Model zakłada 2% PCC przy zakupie domu i porównawczym zakupie trzech lokali z rynku wtórnego, bez zwolnień. Osobno pokazano porównanie bez PCC.</t>
  </si>
  <si>
    <t>T2</t>
  </si>
  <si>
    <t>Ustawa VAT — art.41 ust.12–12c i przepisy stawek</t>
  </si>
  <si>
    <t>https://api.sejm.gov.pl/eli/acts/DU/2025/775/text.pdf</t>
  </si>
  <si>
    <t>8% w modelu dotyczy wyłącznie kwalifikujących kompleksowych usług mieszkaniowych;23% dla wyposażenia, AGD, usług projektowych oraz wskazanych prac zewnętrznych. Kwalifikacja do ustalenia. Bez odliczenia VAT i bez rozliczenia VAT należnego od późniejszej sprzedaży.</t>
  </si>
  <si>
    <t>M1</t>
  </si>
  <si>
    <t>Fundamentowa — 59 m², 925000 zł</t>
  </si>
  <si>
    <t>https://adresowo.pl/o/mieszkanie-warszawa-praga-poludnie-ul-fundamentowa-3-pokojowe-a0y3l6</t>
  </si>
  <si>
    <t>Odczyt 10.09.2026. Cena ofertowa, nie transakcyjna. Po pełnym remoncie; 3 pokoje, balkon i piwnica ok. 6 m². Wyposażenie i AGD w opisie; bez garażu.</t>
  </si>
  <si>
    <t>M4</t>
  </si>
  <si>
    <t>Garwolińska — 48 m², 799000 zł</t>
  </si>
  <si>
    <t>https://www.reals.pl/oferta/3840379841-2-1/mieszkania-sprzedaz-warszawa-garwolinska</t>
  </si>
  <si>
    <t>Odczyt 10.09.2026. Cena ofertowa, nie transakcyjna. Do wprowadzenia; 3 pokoje, balkon, piwnica 8,4 m². Brak windy. Bez garażu; zakres ruchomego wyposażenia niepotwierdzony.</t>
  </si>
  <si>
    <t>M5</t>
  </si>
  <si>
    <t>Grenadierów — 56 m², 795000 zł</t>
  </si>
  <si>
    <t>https://www.morizon.pl/oferta/sprzedaz-mieszkanie-warszawa-praga-poludnie-grenadierow-56m2-mzn2047985162</t>
  </si>
  <si>
    <t>Odczyt 10.09.2026. Cena ofertowa, nie transakcyjna. Do zamieszkania lub remontu według opisu; 3 pokoje, balkon, piwnica, bez windy. Cena bez wskazanej osobnej dopłaty za garaż; garażu nie podano.</t>
  </si>
  <si>
    <t>M6</t>
  </si>
  <si>
    <t>Ostrobramska · balkon — 50 m², 950000 zł</t>
  </si>
  <si>
    <t>https://adresowo.pl/o/mieszkanie-warszawa-praga-poludnie-ul-ostrobramska-2-pokojowe-h5q3z2</t>
  </si>
  <si>
    <t>Odczyt 10.09.2026. Cena ofertowa, nie transakcyjna. 2 pokoje, balkon i komórka; budynek z windą. Zakres remontu nieustalony. Parking ogólnodostępny; brak garażu w pakiecie.</t>
  </si>
  <si>
    <t>M2</t>
  </si>
  <si>
    <t>Ostrobramska 126 · taras — 48,1 m², 920000 zł</t>
  </si>
  <si>
    <t>https://adresowo.pl/o/mieszkanie-warszawa-praga-poludnie-ul-ostrobramska-2-pokojowe-u2o3z4</t>
  </si>
  <si>
    <t>Odczyt 10.09.2026. Cena ofertowa, nie transakcyjna. Gotowe do zamieszkania; taras 14 m², 2. piętro. Komórka w cenie; opcjonalny garaż +69 000 zł.</t>
  </si>
  <si>
    <t>M3</t>
  </si>
  <si>
    <t>Majdańska · taras 50 m² — 70 m², 1200000 zł</t>
  </si>
  <si>
    <t>https://www.olx.pl/d/oferta/70-m-50-m-prywatnego-tarasu-grochow-garaz-w-cenie-CID3-ID1caGEU.html</t>
  </si>
  <si>
    <t>Odczyt 10.09.2026. Cena ofertowa, nie transakcyjna. Urządzone, do wprowadzenia; taras 50 m²; brak windy. Miejsce garażowe w cenie.</t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</si>
</sst>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0.00%"/>
    <numFmt numFmtId="166" formatCode="#,##0.00 &quot;zł&quot;"/>
    <numFmt numFmtId="167" formatCode="0.00"/>
  </numFmts>
  <fonts count="7">
    <font>
      <sz val="11"/>
      <color theme="1"/>
      <name val="Calibri"/>
      <family val="2"/>
      <scheme val="minor"/>
    </font>
    <font>
      <b/>
      <sz val="20"/>
      <color rgb="FF243F36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174B8C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EFFA"/>
        <bgColor indexed="64"/>
      </patternFill>
    </fill>
    <fill>
      <patternFill patternType="solid">
        <fgColor rgb="FF243F36"/>
        <bgColor indexed="64"/>
      </patternFill>
    </fill>
    <fill>
      <patternFill patternType="solid">
        <fgColor rgb="FFE8EBD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1" applyAlignment="1" applyProtection="1"/>
    <xf numFmtId="164" fontId="4" fillId="2" borderId="0" xfId="0" applyNumberFormat="1" applyFont="1" applyFill="1"/>
    <xf numFmtId="165" fontId="4" fillId="2" borderId="0" xfId="0" applyNumberFormat="1" applyFont="1" applyFill="1"/>
    <xf numFmtId="0" fontId="5" fillId="3" borderId="0" xfId="0" applyFont="1" applyFill="1" applyAlignment="1">
      <alignment vertical="center" wrapText="1"/>
    </xf>
    <xf numFmtId="166" fontId="0" fillId="0" borderId="0" xfId="0" applyNumberFormat="1" applyAlignment="1">
      <alignment vertical="top"/>
    </xf>
    <xf numFmtId="166" fontId="6" fillId="4" borderId="0" xfId="0" applyNumberFormat="1" applyFont="1" applyFill="1"/>
    <xf numFmtId="165" fontId="0" fillId="0" borderId="0" xfId="0" applyNumberFormat="1" applyAlignment="1">
      <alignment vertical="top"/>
    </xf>
    <xf numFmtId="167" fontId="0" fillId="0" borderId="0" xfId="0" applyNumberForma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om-grochow-sztuki15.pages.dev/kosztorys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adresowo.pl/o/mieszkanie-warszawa-praga-poludnie-ul-fundamentowa-3-pokojowe-a0y3l6" TargetMode="External"/><Relationship Id="rId2" Type="http://schemas.openxmlformats.org/officeDocument/2006/relationships/hyperlink" Target="https://www.reals.pl/oferta/3840379841-2-1/mieszkania-sprzedaz-warszawa-garwolinska" TargetMode="External"/><Relationship Id="rId3" Type="http://schemas.openxmlformats.org/officeDocument/2006/relationships/hyperlink" Target="https://www.morizon.pl/oferta/sprzedaz-mieszkanie-warszawa-praga-poludnie-grenadierow-56m2-mzn2047985162" TargetMode="External"/><Relationship Id="rId4" Type="http://schemas.openxmlformats.org/officeDocument/2006/relationships/hyperlink" Target="https://adresowo.pl/o/mieszkanie-warszawa-praga-poludnie-ul-ostrobramska-2-pokojowe-h5q3z2" TargetMode="External"/><Relationship Id="rId5" Type="http://schemas.openxmlformats.org/officeDocument/2006/relationships/hyperlink" Target="https://adresowo.pl/o/mieszkanie-warszawa-praga-poludnie-ul-ostrobramska-2-pokojowe-u2o3z4" TargetMode="External"/><Relationship Id="rId6" Type="http://schemas.openxmlformats.org/officeDocument/2006/relationships/hyperlink" Target="https://www.olx.pl/d/oferta/70-m-50-m-prywatnego-tarasu-grochow-garaz-w-cenie-CID3-ID1caGEU.html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adrem.org.pl/cennik/" TargetMode="External"/><Relationship Id="rId2" Type="http://schemas.openxmlformats.org/officeDocument/2006/relationships/hyperlink" Target="https://albin.com.pl/blog/ile-kosztuje-remont-mieszkania-w-warszawie-w-2025/" TargetMode="External"/><Relationship Id="rId3" Type="http://schemas.openxmlformats.org/officeDocument/2006/relationships/hyperlink" Target="https://chatos.pl/cennik/" TargetMode="External"/><Relationship Id="rId4" Type="http://schemas.openxmlformats.org/officeDocument/2006/relationships/hyperlink" Target="https://www.domekidom.com/wp-content/uploads/2026/04/Oferta-Aligator-5-m-DEWELOPERSKI-03.2026.pdf" TargetMode="External"/><Relationship Id="rId5" Type="http://schemas.openxmlformats.org/officeDocument/2006/relationships/hyperlink" Target="https://woodidea.pl/drewno-kvh" TargetMode="External"/><Relationship Id="rId6" Type="http://schemas.openxmlformats.org/officeDocument/2006/relationships/hyperlink" Target="https://balustrada-szklana.pl/balustrada-szklana-cennik/" TargetMode="External"/><Relationship Id="rId7" Type="http://schemas.openxmlformats.org/officeDocument/2006/relationships/hyperlink" Target="https://www.podatki.gov.pl/podatki-osobiste/pcc/stawki-i-limity" TargetMode="External"/><Relationship Id="rId8" Type="http://schemas.openxmlformats.org/officeDocument/2006/relationships/hyperlink" Target="https://api.sejm.gov.pl/eli/acts/DU/2025/775/text.pdf" TargetMode="External"/><Relationship Id="rId9" Type="http://schemas.openxmlformats.org/officeDocument/2006/relationships/hyperlink" Target="https://adresowo.pl/o/mieszkanie-warszawa-praga-poludnie-ul-fundamentowa-3-pokojowe-a0y3l6" TargetMode="External"/><Relationship Id="rId10" Type="http://schemas.openxmlformats.org/officeDocument/2006/relationships/hyperlink" Target="https://www.reals.pl/oferta/3840379841-2-1/mieszkania-sprzedaz-warszawa-garwolinska" TargetMode="External"/><Relationship Id="rId11" Type="http://schemas.openxmlformats.org/officeDocument/2006/relationships/hyperlink" Target="https://www.morizon.pl/oferta/sprzedaz-mieszkanie-warszawa-praga-poludnie-grenadierow-56m2-mzn2047985162" TargetMode="External"/><Relationship Id="rId12" Type="http://schemas.openxmlformats.org/officeDocument/2006/relationships/hyperlink" Target="https://adresowo.pl/o/mieszkanie-warszawa-praga-poludnie-ul-ostrobramska-2-pokojowe-h5q3z2" TargetMode="External"/><Relationship Id="rId13" Type="http://schemas.openxmlformats.org/officeDocument/2006/relationships/hyperlink" Target="https://adresowo.pl/o/mieszkanie-warszawa-praga-poludnie-ul-ostrobramska-2-pokojowe-u2o3z4" TargetMode="External"/><Relationship Id="rId14" Type="http://schemas.openxmlformats.org/officeDocument/2006/relationships/hyperlink" Target="https://www.olx.pl/d/oferta/70-m-50-m-prywatnego-tarasu-grochow-garaz-w-cenie-CID3-ID1caGE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7"/>
  <sheetViews>
    <sheetView tabSelected="1" workbookViewId="0"/>
  </sheetViews>
  <sheetFormatPr defaultRowHeight="15"/>
  <cols>
    <col min="1" max="1" width="110.7109375" customWidth="1"/>
  </cols>
  <sheetData>
    <row r="1" spans="1:1">
      <c r="A1" s="1" t="s">
        <v>0</v>
      </c>
    </row>
    <row r="4" spans="1:1" ht="58" customHeight="1">
      <c r="A4" s="2" t="s">
        <v>1</v>
      </c>
    </row>
    <row r="5" spans="1:1" ht="58" customHeight="1">
      <c r="A5" s="2" t="s">
        <v>2</v>
      </c>
    </row>
    <row r="6" spans="1:1" ht="58" customHeight="1">
      <c r="A6" s="2" t="s">
        <v>3</v>
      </c>
    </row>
    <row r="7" spans="1:1" ht="58" customHeight="1">
      <c r="A7" s="2" t="s">
        <v>4</v>
      </c>
    </row>
    <row r="8" spans="1:1" ht="58" customHeight="1">
      <c r="A8" s="2" t="s">
        <v>5</v>
      </c>
    </row>
    <row r="9" spans="1:1" ht="58" customHeight="1">
      <c r="A9" s="2" t="s">
        <v>6</v>
      </c>
    </row>
    <row r="10" spans="1:1" ht="58" customHeight="1">
      <c r="A10" s="2" t="s">
        <v>7</v>
      </c>
    </row>
    <row r="11" spans="1:1" ht="58" customHeight="1">
      <c r="A11" s="2" t="s">
        <v>8</v>
      </c>
    </row>
    <row r="12" spans="1:1" ht="58" customHeight="1">
      <c r="A12" s="2" t="s">
        <v>9</v>
      </c>
    </row>
    <row r="13" spans="1:1" ht="58" customHeight="1">
      <c r="A13" s="2" t="s">
        <v>10</v>
      </c>
    </row>
    <row r="14" spans="1:1" ht="58" customHeight="1">
      <c r="A14" s="2" t="s">
        <v>11</v>
      </c>
    </row>
    <row r="17" spans="1:1">
      <c r="A17" s="3" t="s">
        <v>12</v>
      </c>
    </row>
  </sheetData>
  <hyperlinks>
    <hyperlink ref="A17" r:id="rId1"/>
  </hyperlink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1" max="1" width="62.7109375" customWidth="1"/>
    <col min="2" max="2" width="20.7109375" customWidth="1"/>
    <col min="3" max="3" width="68.7109375" customWidth="1"/>
  </cols>
  <sheetData>
    <row r="1" spans="1:3">
      <c r="A1" s="1" t="s">
        <v>13</v>
      </c>
    </row>
    <row r="4" spans="1:3" ht="30" customHeight="1">
      <c r="A4" s="2" t="s">
        <v>14</v>
      </c>
      <c r="B4" s="4">
        <v>1499000</v>
      </c>
      <c r="C4" s="2" t="s">
        <v>15</v>
      </c>
    </row>
    <row r="5" spans="1:3" ht="30" customHeight="1">
      <c r="A5" s="2" t="s">
        <v>16</v>
      </c>
      <c r="B5" s="5">
        <v>0.02</v>
      </c>
      <c r="C5" s="2" t="s">
        <v>17</v>
      </c>
    </row>
    <row r="6" spans="1:3" ht="30" customHeight="1">
      <c r="A6" s="2" t="s">
        <v>18</v>
      </c>
      <c r="B6" s="4">
        <v>18000</v>
      </c>
      <c r="C6" s="2" t="s">
        <v>19</v>
      </c>
    </row>
    <row r="7" spans="1:3" ht="30" customHeight="1">
      <c r="A7" s="2" t="s">
        <v>20</v>
      </c>
      <c r="B7" s="5">
        <v>0.15</v>
      </c>
      <c r="C7" s="2" t="s">
        <v>21</v>
      </c>
    </row>
    <row r="8" spans="1:3" ht="30" customHeight="1">
      <c r="A8" s="2" t="s">
        <v>22</v>
      </c>
      <c r="B8" s="5">
        <v>0.12</v>
      </c>
      <c r="C8" s="2" t="s">
        <v>21</v>
      </c>
    </row>
    <row r="9" spans="1:3" ht="30" customHeight="1">
      <c r="A9" s="2" t="s">
        <v>23</v>
      </c>
      <c r="B9" s="4">
        <v>16500</v>
      </c>
      <c r="C9" s="2" t="s">
        <v>24</v>
      </c>
    </row>
    <row r="10" spans="1:3" ht="30" customHeight="1">
      <c r="A10" s="2" t="s">
        <v>25</v>
      </c>
      <c r="B10" s="4">
        <v>1062500</v>
      </c>
      <c r="C10" s="2" t="s">
        <v>26</v>
      </c>
    </row>
    <row r="11" spans="1:3" ht="30" customHeight="1">
      <c r="A11" s="2" t="s">
        <v>27</v>
      </c>
      <c r="B11" s="4">
        <v>75000</v>
      </c>
      <c r="C11" s="2" t="s">
        <v>28</v>
      </c>
    </row>
    <row r="12" spans="1:3" ht="30" customHeight="1">
      <c r="A12" s="2" t="s">
        <v>29</v>
      </c>
      <c r="B12" s="4">
        <v>24</v>
      </c>
      <c r="C12" s="2" t="s">
        <v>30</v>
      </c>
    </row>
    <row r="13" spans="1:3" ht="30" customHeight="1">
      <c r="A13" s="2" t="s">
        <v>31</v>
      </c>
      <c r="B13" s="4">
        <v>1500</v>
      </c>
      <c r="C13" s="2" t="s">
        <v>32</v>
      </c>
    </row>
    <row r="14" spans="1:3" ht="30" customHeight="1">
      <c r="A14" s="2" t="s">
        <v>33</v>
      </c>
      <c r="B14" s="4">
        <v>35000</v>
      </c>
      <c r="C14" s="2" t="s">
        <v>34</v>
      </c>
    </row>
    <row r="15" spans="1:3" ht="30" customHeight="1">
      <c r="A15" s="2" t="s">
        <v>35</v>
      </c>
      <c r="B15" s="4">
        <v>0</v>
      </c>
      <c r="C15" s="2" t="s">
        <v>36</v>
      </c>
    </row>
    <row r="16" spans="1:3" ht="30" customHeight="1">
      <c r="A16" s="2" t="s">
        <v>37</v>
      </c>
      <c r="B16" s="5">
        <v>0.0246</v>
      </c>
      <c r="C16" s="2" t="s">
        <v>38</v>
      </c>
    </row>
    <row r="17" spans="1:3" ht="30" customHeight="1">
      <c r="A17" s="2" t="s">
        <v>39</v>
      </c>
      <c r="B17" s="5">
        <v>0.02</v>
      </c>
      <c r="C17" s="2" t="s">
        <v>40</v>
      </c>
    </row>
    <row r="18" spans="1:3" ht="30" customHeight="1">
      <c r="A18" s="2" t="s">
        <v>41</v>
      </c>
      <c r="B18" s="4">
        <v>24000</v>
      </c>
      <c r="C18" s="2" t="s">
        <v>42</v>
      </c>
    </row>
    <row r="19" spans="1:3" ht="30" customHeight="1">
      <c r="A19" s="2" t="s">
        <v>43</v>
      </c>
      <c r="B19" s="4">
        <v>69.52</v>
      </c>
      <c r="C19" s="2" t="s">
        <v>44</v>
      </c>
    </row>
    <row r="20" spans="1:3" ht="30" customHeight="1">
      <c r="A20" s="2" t="s">
        <v>45</v>
      </c>
      <c r="B20" s="4">
        <v>58.87</v>
      </c>
      <c r="C20" s="2" t="s">
        <v>44</v>
      </c>
    </row>
    <row r="21" spans="1:3" ht="30" customHeight="1">
      <c r="A21" s="2" t="s">
        <v>46</v>
      </c>
      <c r="B21" s="5">
        <v>0.2</v>
      </c>
      <c r="C21" s="2" t="s">
        <v>47</v>
      </c>
    </row>
    <row r="22" spans="1:3" ht="30" customHeight="1">
      <c r="A22" s="2" t="s">
        <v>48</v>
      </c>
      <c r="B22" s="4">
        <v>16500</v>
      </c>
      <c r="C22" s="2" t="s">
        <v>49</v>
      </c>
    </row>
  </sheetData>
  <dataValidations count="19">
    <dataValidation type="decimal" allowBlank="1" showInputMessage="1" showErrorMessage="1" sqref="B4">
      <formula1>0</formula1>
      <formula2>1000000000</formula2>
    </dataValidation>
    <dataValidation type="decimal" allowBlank="1" showInputMessage="1" showErrorMessage="1" sqref="B5">
      <formula1>0</formula1>
      <formula2>0.99</formula2>
    </dataValidation>
    <dataValidation type="decimal" allowBlank="1" showInputMessage="1" showErrorMessage="1" sqref="B6">
      <formula1>0</formula1>
      <formula2>1000000000</formula2>
    </dataValidation>
    <dataValidation type="decimal" allowBlank="1" showInputMessage="1" showErrorMessage="1" sqref="B7">
      <formula1>0</formula1>
      <formula2>0.99</formula2>
    </dataValidation>
    <dataValidation type="decimal" allowBlank="1" showInputMessage="1" showErrorMessage="1" sqref="B8">
      <formula1>0</formula1>
      <formula2>0.99</formula2>
    </dataValidation>
    <dataValidation type="decimal" allowBlank="1" showInputMessage="1" showErrorMessage="1" sqref="B9">
      <formula1>0</formula1>
      <formula2>1000000000</formula2>
    </dataValidation>
    <dataValidation type="decimal" allowBlank="1" showInputMessage="1" showErrorMessage="1" sqref="B10">
      <formula1>0</formula1>
      <formula2>1000000000</formula2>
    </dataValidation>
    <dataValidation type="decimal" allowBlank="1" showInputMessage="1" showErrorMessage="1" sqref="B11">
      <formula1>0</formula1>
      <formula2>1000000000</formula2>
    </dataValidation>
    <dataValidation type="decimal" allowBlank="1" showInputMessage="1" showErrorMessage="1" sqref="B12">
      <formula1>0</formula1>
      <formula2>1000000000</formula2>
    </dataValidation>
    <dataValidation type="decimal" allowBlank="1" showInputMessage="1" showErrorMessage="1" sqref="B13">
      <formula1>0</formula1>
      <formula2>1000000000</formula2>
    </dataValidation>
    <dataValidation type="decimal" allowBlank="1" showInputMessage="1" showErrorMessage="1" sqref="B14">
      <formula1>0</formula1>
      <formula2>1000000000</formula2>
    </dataValidation>
    <dataValidation type="decimal" allowBlank="1" showInputMessage="1" showErrorMessage="1" sqref="B15">
      <formula1>0</formula1>
      <formula2>1000000000</formula2>
    </dataValidation>
    <dataValidation type="decimal" allowBlank="1" showInputMessage="1" showErrorMessage="1" sqref="B16">
      <formula1>0</formula1>
      <formula2>0.99</formula2>
    </dataValidation>
    <dataValidation type="decimal" allowBlank="1" showInputMessage="1" showErrorMessage="1" sqref="B17">
      <formula1>0</formula1>
      <formula2>0.99</formula2>
    </dataValidation>
    <dataValidation type="decimal" allowBlank="1" showInputMessage="1" showErrorMessage="1" sqref="B18">
      <formula1>0</formula1>
      <formula2>1000000000</formula2>
    </dataValidation>
    <dataValidation type="decimal" allowBlank="1" showInputMessage="1" showErrorMessage="1" sqref="B19">
      <formula1>0</formula1>
      <formula2>1000000000</formula2>
    </dataValidation>
    <dataValidation type="decimal" allowBlank="1" showInputMessage="1" showErrorMessage="1" sqref="B20">
      <formula1>0</formula1>
      <formula2>1000000000</formula2>
    </dataValidation>
    <dataValidation type="decimal" allowBlank="1" showInputMessage="1" showErrorMessage="1" sqref="B21">
      <formula1>0</formula1>
      <formula2>0.99</formula2>
    </dataValidation>
    <dataValidation type="decimal" allowBlank="1" showInputMessage="1" showErrorMessage="1" sqref="B22">
      <formula1>0</formula1>
      <formula2>1000000000</formula2>
    </dataValidation>
  </dataValidation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2.7109375" customWidth="1"/>
    <col min="2" max="2" width="48.7109375" customWidth="1"/>
    <col min="3" max="4" width="12.7109375" customWidth="1"/>
    <col min="5" max="6" width="17.7109375" customWidth="1"/>
    <col min="7" max="7" width="10.7109375" customWidth="1"/>
    <col min="8" max="9" width="17.7109375" customWidth="1"/>
    <col min="10" max="10" width="80.7109375" customWidth="1"/>
  </cols>
  <sheetData>
    <row r="1" spans="1:10">
      <c r="A1" s="1" t="s">
        <v>50</v>
      </c>
    </row>
    <row r="2" spans="1:10">
      <c r="A2" s="2" t="s">
        <v>51</v>
      </c>
    </row>
    <row r="4" spans="1:10" ht="35" customHeight="1">
      <c r="A4" s="6" t="s">
        <v>52</v>
      </c>
      <c r="B4" s="6" t="s">
        <v>53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</row>
    <row r="5" spans="1:10" ht="58" customHeight="1">
      <c r="A5" s="2" t="s">
        <v>62</v>
      </c>
      <c r="B5" s="2" t="s">
        <v>63</v>
      </c>
      <c r="C5" s="4">
        <v>128.39</v>
      </c>
      <c r="D5" s="2" t="s">
        <v>64</v>
      </c>
      <c r="E5" s="4">
        <v>90.00000000000001</v>
      </c>
      <c r="F5" s="7">
        <f>ROUND(C5*E5,2)</f>
        <v>11555.1</v>
      </c>
      <c r="G5" s="5">
        <v>0.08</v>
      </c>
      <c r="H5" s="7">
        <f>ROUND(F5*G5,2)</f>
        <v>924.41</v>
      </c>
      <c r="I5" s="7">
        <f>F5+H5</f>
        <v>12479.51</v>
      </c>
      <c r="J5" s="2" t="s">
        <v>65</v>
      </c>
    </row>
    <row r="6" spans="1:10" ht="58" customHeight="1">
      <c r="A6" s="2" t="s">
        <v>66</v>
      </c>
      <c r="B6" s="2" t="s">
        <v>67</v>
      </c>
      <c r="C6" s="4">
        <v>120</v>
      </c>
      <c r="D6" s="2" t="s">
        <v>68</v>
      </c>
      <c r="E6" s="4">
        <v>230</v>
      </c>
      <c r="F6" s="7">
        <f>ROUND(C6*E6,2)</f>
        <v>27600.0</v>
      </c>
      <c r="G6" s="5">
        <v>0.08</v>
      </c>
      <c r="H6" s="7">
        <f>ROUND(F6*G6,2)</f>
        <v>2208.0</v>
      </c>
      <c r="I6" s="7">
        <f>F6+H6</f>
        <v>29808.0</v>
      </c>
      <c r="J6" s="2" t="s">
        <v>69</v>
      </c>
    </row>
    <row r="7" spans="1:10" ht="58" customHeight="1">
      <c r="A7" s="2" t="s">
        <v>66</v>
      </c>
      <c r="B7" s="2" t="s">
        <v>70</v>
      </c>
      <c r="C7" s="4">
        <v>2</v>
      </c>
      <c r="D7" s="2" t="s">
        <v>71</v>
      </c>
      <c r="E7" s="4">
        <v>2500</v>
      </c>
      <c r="F7" s="7">
        <f>ROUND(C7*E7,2)</f>
        <v>5000.0</v>
      </c>
      <c r="G7" s="5">
        <v>0.08</v>
      </c>
      <c r="H7" s="7">
        <f>ROUND(F7*G7,2)</f>
        <v>400.0</v>
      </c>
      <c r="I7" s="7">
        <f>F7+H7</f>
        <v>5400.0</v>
      </c>
      <c r="J7" s="2" t="s">
        <v>72</v>
      </c>
    </row>
    <row r="8" spans="1:10" ht="58" customHeight="1">
      <c r="A8" s="2" t="s">
        <v>66</v>
      </c>
      <c r="B8" s="2" t="s">
        <v>73</v>
      </c>
      <c r="C8" s="4">
        <v>18</v>
      </c>
      <c r="D8" s="2" t="s">
        <v>68</v>
      </c>
      <c r="E8" s="4">
        <v>600</v>
      </c>
      <c r="F8" s="7">
        <f>ROUND(C8*E8,2)</f>
        <v>10800.0</v>
      </c>
      <c r="G8" s="5">
        <v>0.08</v>
      </c>
      <c r="H8" s="7">
        <f>ROUND(F8*G8,2)</f>
        <v>864.0</v>
      </c>
      <c r="I8" s="7">
        <f>F8+H8</f>
        <v>11664.0</v>
      </c>
      <c r="J8" s="2" t="s">
        <v>74</v>
      </c>
    </row>
    <row r="9" spans="1:10" ht="58" customHeight="1">
      <c r="A9" s="2" t="s">
        <v>66</v>
      </c>
      <c r="B9" s="2" t="s">
        <v>75</v>
      </c>
      <c r="C9" s="4">
        <v>1</v>
      </c>
      <c r="D9" s="2" t="s">
        <v>71</v>
      </c>
      <c r="E9" s="4">
        <v>19000</v>
      </c>
      <c r="F9" s="7">
        <f>ROUND(C9*E9,2)</f>
        <v>19000.0</v>
      </c>
      <c r="G9" s="5">
        <v>0.08</v>
      </c>
      <c r="H9" s="7">
        <f>ROUND(F9*G9,2)</f>
        <v>1520.0</v>
      </c>
      <c r="I9" s="7">
        <f>F9+H9</f>
        <v>20520.0</v>
      </c>
      <c r="J9" s="2" t="s">
        <v>76</v>
      </c>
    </row>
    <row r="10" spans="1:10" ht="58" customHeight="1">
      <c r="A10" s="2" t="s">
        <v>62</v>
      </c>
      <c r="B10" s="2" t="s">
        <v>77</v>
      </c>
      <c r="C10" s="4">
        <v>120</v>
      </c>
      <c r="D10" s="2" t="s">
        <v>64</v>
      </c>
      <c r="E10" s="4">
        <v>60</v>
      </c>
      <c r="F10" s="7">
        <f>ROUND(C10*E10,2)</f>
        <v>7200.0</v>
      </c>
      <c r="G10" s="5">
        <v>0.08</v>
      </c>
      <c r="H10" s="7">
        <f>ROUND(F10*G10,2)</f>
        <v>576.0</v>
      </c>
      <c r="I10" s="7">
        <f>F10+H10</f>
        <v>7776.0</v>
      </c>
      <c r="J10" s="2" t="s">
        <v>78</v>
      </c>
    </row>
    <row r="11" spans="1:10" ht="58" customHeight="1">
      <c r="A11" s="2" t="s">
        <v>62</v>
      </c>
      <c r="B11" s="2" t="s">
        <v>79</v>
      </c>
      <c r="C11" s="4">
        <v>460</v>
      </c>
      <c r="D11" s="2" t="s">
        <v>64</v>
      </c>
      <c r="E11" s="4">
        <v>50</v>
      </c>
      <c r="F11" s="7">
        <f>ROUND(C11*E11,2)</f>
        <v>23000.0</v>
      </c>
      <c r="G11" s="5">
        <v>0.08</v>
      </c>
      <c r="H11" s="7">
        <f>ROUND(F11*G11,2)</f>
        <v>1840.0</v>
      </c>
      <c r="I11" s="7">
        <f>F11+H11</f>
        <v>24840.0</v>
      </c>
      <c r="J11" s="2" t="s">
        <v>80</v>
      </c>
    </row>
    <row r="12" spans="1:10" ht="58" customHeight="1">
      <c r="A12" s="2" t="s">
        <v>62</v>
      </c>
      <c r="B12" s="2" t="s">
        <v>81</v>
      </c>
      <c r="C12" s="4">
        <v>460</v>
      </c>
      <c r="D12" s="2" t="s">
        <v>64</v>
      </c>
      <c r="E12" s="4">
        <v>32</v>
      </c>
      <c r="F12" s="7">
        <f>ROUND(C12*E12,2)</f>
        <v>14720.0</v>
      </c>
      <c r="G12" s="5">
        <v>0.08</v>
      </c>
      <c r="H12" s="7">
        <f>ROUND(F12*G12,2)</f>
        <v>1177.6</v>
      </c>
      <c r="I12" s="7">
        <f>F12+H12</f>
        <v>15897.6</v>
      </c>
      <c r="J12" s="2" t="s">
        <v>82</v>
      </c>
    </row>
    <row r="13" spans="1:10" ht="58" customHeight="1">
      <c r="A13" s="2" t="s">
        <v>62</v>
      </c>
      <c r="B13" s="2" t="s">
        <v>83</v>
      </c>
      <c r="C13" s="4">
        <v>128.39</v>
      </c>
      <c r="D13" s="2" t="s">
        <v>64</v>
      </c>
      <c r="E13" s="4">
        <v>70</v>
      </c>
      <c r="F13" s="7">
        <f>ROUND(C13*E13,2)</f>
        <v>8987.3</v>
      </c>
      <c r="G13" s="5">
        <v>0.08</v>
      </c>
      <c r="H13" s="7">
        <f>ROUND(F13*G13,2)</f>
        <v>718.98</v>
      </c>
      <c r="I13" s="7">
        <f>F13+H13</f>
        <v>9706.28</v>
      </c>
      <c r="J13" s="2" t="s">
        <v>84</v>
      </c>
    </row>
    <row r="14" spans="1:10" ht="58" customHeight="1">
      <c r="A14" s="2" t="s">
        <v>62</v>
      </c>
      <c r="B14" s="2" t="s">
        <v>85</v>
      </c>
      <c r="C14" s="4">
        <v>115</v>
      </c>
      <c r="D14" s="2" t="s">
        <v>64</v>
      </c>
      <c r="E14" s="4">
        <v>155</v>
      </c>
      <c r="F14" s="7">
        <f>ROUND(C14*E14,2)</f>
        <v>17825.0</v>
      </c>
      <c r="G14" s="5">
        <v>0.08</v>
      </c>
      <c r="H14" s="7">
        <f>ROUND(F14*G14,2)</f>
        <v>1426.0</v>
      </c>
      <c r="I14" s="7">
        <f>F14+H14</f>
        <v>19251.0</v>
      </c>
      <c r="J14" s="2" t="s">
        <v>86</v>
      </c>
    </row>
    <row r="15" spans="1:10" ht="58" customHeight="1">
      <c r="A15" s="2" t="s">
        <v>62</v>
      </c>
      <c r="B15" s="2" t="s">
        <v>87</v>
      </c>
      <c r="C15" s="4">
        <v>50</v>
      </c>
      <c r="D15" s="2" t="s">
        <v>64</v>
      </c>
      <c r="E15" s="4">
        <v>225</v>
      </c>
      <c r="F15" s="7">
        <f>ROUND(C15*E15,2)</f>
        <v>11250.0</v>
      </c>
      <c r="G15" s="5">
        <v>0.08</v>
      </c>
      <c r="H15" s="7">
        <f>ROUND(F15*G15,2)</f>
        <v>900.0</v>
      </c>
      <c r="I15" s="7">
        <f>F15+H15</f>
        <v>12150.0</v>
      </c>
      <c r="J15" s="2" t="s">
        <v>88</v>
      </c>
    </row>
    <row r="16" spans="1:10" ht="58" customHeight="1">
      <c r="A16" s="2" t="s">
        <v>62</v>
      </c>
      <c r="B16" s="2" t="s">
        <v>89</v>
      </c>
      <c r="C16" s="4">
        <v>25</v>
      </c>
      <c r="D16" s="2" t="s">
        <v>64</v>
      </c>
      <c r="E16" s="4">
        <v>75</v>
      </c>
      <c r="F16" s="7">
        <f>ROUND(C16*E16,2)</f>
        <v>1875.0</v>
      </c>
      <c r="G16" s="5">
        <v>0.08</v>
      </c>
      <c r="H16" s="7">
        <f>ROUND(F16*G16,2)</f>
        <v>150.0</v>
      </c>
      <c r="I16" s="7">
        <f>F16+H16</f>
        <v>2025.0</v>
      </c>
      <c r="J16" s="2" t="s">
        <v>90</v>
      </c>
    </row>
    <row r="17" spans="1:10" ht="58" customHeight="1">
      <c r="A17" s="2" t="s">
        <v>91</v>
      </c>
      <c r="B17" s="2" t="s">
        <v>92</v>
      </c>
      <c r="C17" s="4">
        <v>2</v>
      </c>
      <c r="D17" s="2" t="s">
        <v>71</v>
      </c>
      <c r="E17" s="4">
        <v>11000</v>
      </c>
      <c r="F17" s="7">
        <f>ROUND(C17*E17,2)</f>
        <v>22000.0</v>
      </c>
      <c r="G17" s="5">
        <v>0.08</v>
      </c>
      <c r="H17" s="7">
        <f>ROUND(F17*G17,2)</f>
        <v>1760.0</v>
      </c>
      <c r="I17" s="7">
        <f>F17+H17</f>
        <v>23760.0</v>
      </c>
      <c r="J17" s="2" t="s">
        <v>93</v>
      </c>
    </row>
    <row r="18" spans="1:10" ht="58" customHeight="1">
      <c r="A18" s="2" t="s">
        <v>91</v>
      </c>
      <c r="B18" s="2" t="s">
        <v>94</v>
      </c>
      <c r="C18" s="4">
        <v>2</v>
      </c>
      <c r="D18" s="2" t="s">
        <v>71</v>
      </c>
      <c r="E18" s="4">
        <v>14500</v>
      </c>
      <c r="F18" s="7">
        <f>ROUND(C18*E18,2)</f>
        <v>29000.0</v>
      </c>
      <c r="G18" s="5">
        <v>0.08</v>
      </c>
      <c r="H18" s="7">
        <f>ROUND(F18*G18,2)</f>
        <v>2320.0</v>
      </c>
      <c r="I18" s="7">
        <f>F18+H18</f>
        <v>31320.0</v>
      </c>
      <c r="J18" s="2" t="s">
        <v>95</v>
      </c>
    </row>
    <row r="19" spans="1:10" ht="58" customHeight="1">
      <c r="A19" s="2" t="s">
        <v>91</v>
      </c>
      <c r="B19" s="2" t="s">
        <v>96</v>
      </c>
      <c r="C19" s="4">
        <v>2</v>
      </c>
      <c r="D19" s="2" t="s">
        <v>71</v>
      </c>
      <c r="E19" s="4">
        <v>6500</v>
      </c>
      <c r="F19" s="7">
        <f>ROUND(C19*E19,2)</f>
        <v>13000.0</v>
      </c>
      <c r="G19" s="5">
        <v>0.23</v>
      </c>
      <c r="H19" s="7">
        <f>ROUND(F19*G19,2)</f>
        <v>2990.0</v>
      </c>
      <c r="I19" s="7">
        <f>F19+H19</f>
        <v>15990.0</v>
      </c>
      <c r="J19" s="2" t="s">
        <v>97</v>
      </c>
    </row>
    <row r="20" spans="1:10" ht="58" customHeight="1">
      <c r="A20" s="2" t="s">
        <v>98</v>
      </c>
      <c r="B20" s="2" t="s">
        <v>99</v>
      </c>
      <c r="C20" s="4">
        <v>10</v>
      </c>
      <c r="D20" s="2" t="s">
        <v>100</v>
      </c>
      <c r="E20" s="4">
        <v>1700</v>
      </c>
      <c r="F20" s="7">
        <f>ROUND(C20*E20,2)</f>
        <v>17000.0</v>
      </c>
      <c r="G20" s="5">
        <v>0.08</v>
      </c>
      <c r="H20" s="7">
        <f>ROUND(F20*G20,2)</f>
        <v>1360.0</v>
      </c>
      <c r="I20" s="7">
        <f>F20+H20</f>
        <v>18360.0</v>
      </c>
      <c r="J20" s="2" t="s">
        <v>101</v>
      </c>
    </row>
    <row r="21" spans="1:10" ht="58" customHeight="1">
      <c r="A21" s="2" t="s">
        <v>98</v>
      </c>
      <c r="B21" s="2" t="s">
        <v>102</v>
      </c>
      <c r="C21" s="4">
        <v>22</v>
      </c>
      <c r="D21" s="2" t="s">
        <v>64</v>
      </c>
      <c r="E21" s="4">
        <v>1200</v>
      </c>
      <c r="F21" s="7">
        <f>ROUND(C21*E21,2)</f>
        <v>26400.0</v>
      </c>
      <c r="G21" s="5">
        <v>0.08</v>
      </c>
      <c r="H21" s="7">
        <f>ROUND(F21*G21,2)</f>
        <v>2112.0</v>
      </c>
      <c r="I21" s="7">
        <f>F21+H21</f>
        <v>28512.0</v>
      </c>
      <c r="J21" s="2" t="s">
        <v>103</v>
      </c>
    </row>
    <row r="22" spans="1:10" ht="58" customHeight="1">
      <c r="A22" s="2" t="s">
        <v>98</v>
      </c>
      <c r="B22" s="2" t="s">
        <v>104</v>
      </c>
      <c r="C22" s="4">
        <v>2</v>
      </c>
      <c r="D22" s="2" t="s">
        <v>100</v>
      </c>
      <c r="E22" s="4">
        <v>3300</v>
      </c>
      <c r="F22" s="7">
        <f>ROUND(C22*E22,2)</f>
        <v>6600.0</v>
      </c>
      <c r="G22" s="5">
        <v>0.08</v>
      </c>
      <c r="H22" s="7">
        <f>ROUND(F22*G22,2)</f>
        <v>528.0</v>
      </c>
      <c r="I22" s="7">
        <f>F22+H22</f>
        <v>7128.0</v>
      </c>
      <c r="J22" s="2" t="s">
        <v>105</v>
      </c>
    </row>
    <row r="23" spans="1:10" ht="58" customHeight="1">
      <c r="A23" s="2" t="s">
        <v>106</v>
      </c>
      <c r="B23" s="2" t="s">
        <v>107</v>
      </c>
      <c r="C23" s="4">
        <v>1</v>
      </c>
      <c r="D23" s="2" t="s">
        <v>71</v>
      </c>
      <c r="E23" s="4">
        <v>13000</v>
      </c>
      <c r="F23" s="7">
        <f>ROUND(C23*E23,2)</f>
        <v>13000.0</v>
      </c>
      <c r="G23" s="5">
        <v>0.08</v>
      </c>
      <c r="H23" s="7">
        <f>ROUND(F23*G23,2)</f>
        <v>1040.0</v>
      </c>
      <c r="I23" s="7">
        <f>F23+H23</f>
        <v>14040.0</v>
      </c>
      <c r="J23" s="2" t="s">
        <v>108</v>
      </c>
    </row>
    <row r="24" spans="1:10" ht="58" customHeight="1">
      <c r="A24" s="2" t="s">
        <v>109</v>
      </c>
      <c r="B24" s="2" t="s">
        <v>110</v>
      </c>
      <c r="C24" s="4">
        <v>80.09</v>
      </c>
      <c r="D24" s="2" t="s">
        <v>64</v>
      </c>
      <c r="E24" s="4">
        <v>280</v>
      </c>
      <c r="F24" s="7">
        <f>ROUND(C24*E24,2)</f>
        <v>22425.2</v>
      </c>
      <c r="G24" s="5">
        <v>0.08</v>
      </c>
      <c r="H24" s="7">
        <f>ROUND(F24*G24,2)</f>
        <v>1794.02</v>
      </c>
      <c r="I24" s="7">
        <f>F24+H24</f>
        <v>24219.22</v>
      </c>
      <c r="J24" s="2" t="s">
        <v>111</v>
      </c>
    </row>
    <row r="25" spans="1:10" ht="58" customHeight="1">
      <c r="A25" s="2" t="s">
        <v>109</v>
      </c>
      <c r="B25" s="2" t="s">
        <v>112</v>
      </c>
      <c r="C25" s="4">
        <v>1</v>
      </c>
      <c r="D25" s="2" t="s">
        <v>71</v>
      </c>
      <c r="E25" s="4">
        <v>20000</v>
      </c>
      <c r="F25" s="7">
        <f>ROUND(C25*E25,2)</f>
        <v>20000.0</v>
      </c>
      <c r="G25" s="5">
        <v>0.08</v>
      </c>
      <c r="H25" s="7">
        <f>ROUND(F25*G25,2)</f>
        <v>1600.0</v>
      </c>
      <c r="I25" s="7">
        <f>F25+H25</f>
        <v>21600.0</v>
      </c>
      <c r="J25" s="2" t="s">
        <v>113</v>
      </c>
    </row>
    <row r="26" spans="1:10" ht="58" customHeight="1">
      <c r="A26" s="2" t="s">
        <v>114</v>
      </c>
      <c r="B26" s="2" t="s">
        <v>115</v>
      </c>
      <c r="C26" s="4">
        <v>200</v>
      </c>
      <c r="D26" s="2" t="s">
        <v>64</v>
      </c>
      <c r="E26" s="4">
        <v>110</v>
      </c>
      <c r="F26" s="7">
        <f>ROUND(C26*E26,2)</f>
        <v>22000.0</v>
      </c>
      <c r="G26" s="5">
        <v>0.08</v>
      </c>
      <c r="H26" s="7">
        <f>ROUND(F26*G26,2)</f>
        <v>1760.0</v>
      </c>
      <c r="I26" s="7">
        <f>F26+H26</f>
        <v>23760.0</v>
      </c>
      <c r="J26" s="2" t="s">
        <v>116</v>
      </c>
    </row>
    <row r="27" spans="1:10" ht="58" customHeight="1">
      <c r="A27" s="2" t="s">
        <v>109</v>
      </c>
      <c r="B27" s="2" t="s">
        <v>117</v>
      </c>
      <c r="C27" s="4">
        <v>1</v>
      </c>
      <c r="D27" s="2" t="s">
        <v>71</v>
      </c>
      <c r="E27" s="4">
        <v>8000</v>
      </c>
      <c r="F27" s="7">
        <f>ROUND(C27*E27,2)</f>
        <v>8000.0</v>
      </c>
      <c r="G27" s="5">
        <v>0.23</v>
      </c>
      <c r="H27" s="7">
        <f>ROUND(F27*G27,2)</f>
        <v>1840.0</v>
      </c>
      <c r="I27" s="7">
        <f>F27+H27</f>
        <v>9840.0</v>
      </c>
      <c r="J27" s="2" t="s">
        <v>118</v>
      </c>
    </row>
    <row r="28" spans="1:10" ht="58" customHeight="1">
      <c r="A28" s="2" t="s">
        <v>114</v>
      </c>
      <c r="B28" s="2" t="s">
        <v>119</v>
      </c>
      <c r="C28" s="4">
        <v>11.55</v>
      </c>
      <c r="D28" s="2" t="s">
        <v>64</v>
      </c>
      <c r="E28" s="4">
        <v>600</v>
      </c>
      <c r="F28" s="7">
        <f>ROUND(C28*E28,2)</f>
        <v>6930.0</v>
      </c>
      <c r="G28" s="5">
        <v>0.08</v>
      </c>
      <c r="H28" s="7">
        <f>ROUND(F28*G28,2)</f>
        <v>554.4</v>
      </c>
      <c r="I28" s="7">
        <f>F28+H28</f>
        <v>7484.4</v>
      </c>
      <c r="J28" s="2" t="s">
        <v>120</v>
      </c>
    </row>
    <row r="29" spans="1:10" ht="58" customHeight="1">
      <c r="A29" s="2" t="s">
        <v>114</v>
      </c>
      <c r="B29" s="2" t="s">
        <v>121</v>
      </c>
      <c r="C29" s="4">
        <v>1</v>
      </c>
      <c r="D29" s="2" t="s">
        <v>71</v>
      </c>
      <c r="E29" s="4">
        <v>12000</v>
      </c>
      <c r="F29" s="7">
        <f>ROUND(C29*E29,2)</f>
        <v>12000.0</v>
      </c>
      <c r="G29" s="5">
        <v>0.23</v>
      </c>
      <c r="H29" s="7">
        <f>ROUND(F29*G29,2)</f>
        <v>2760.0</v>
      </c>
      <c r="I29" s="7">
        <f>F29+H29</f>
        <v>14760.0</v>
      </c>
      <c r="J29" s="2" t="s">
        <v>122</v>
      </c>
    </row>
    <row r="30" spans="1:10" ht="58" customHeight="1">
      <c r="A30" s="2" t="s">
        <v>91</v>
      </c>
      <c r="B30" s="2" t="s">
        <v>123</v>
      </c>
      <c r="C30" s="4">
        <v>2</v>
      </c>
      <c r="D30" s="2" t="s">
        <v>71</v>
      </c>
      <c r="E30" s="4">
        <v>10000</v>
      </c>
      <c r="F30" s="7">
        <f>ROUND(C30*E30,2)</f>
        <v>20000.0</v>
      </c>
      <c r="G30" s="5">
        <v>0.23</v>
      </c>
      <c r="H30" s="7">
        <f>ROUND(F30*G30,2)</f>
        <v>4600.0</v>
      </c>
      <c r="I30" s="7">
        <f>F30+H30</f>
        <v>24600.0</v>
      </c>
      <c r="J30" s="2" t="s">
        <v>124</v>
      </c>
    </row>
    <row r="31" spans="1:10">
      <c r="B31" s="6" t="s">
        <v>125</v>
      </c>
      <c r="F31" s="8">
        <f>SUM(F5:F30)</f>
        <v>397167.6</v>
      </c>
      <c r="H31" s="8">
        <f>SUM(H5:H30)</f>
        <v>39723.41</v>
      </c>
      <c r="I31" s="8">
        <f>SUM(I5:I30)</f>
        <v>436891.01</v>
      </c>
    </row>
    <row r="32" spans="1:10">
      <c r="B32" s="2" t="s">
        <v>126</v>
      </c>
      <c r="G32" s="9">
        <f>'Założenia'!B7</f>
        <v>0.15</v>
      </c>
      <c r="I32" s="8">
        <f>ROUND(I31*G32,2)</f>
        <v>65533.65</v>
      </c>
    </row>
    <row r="33" spans="2:9">
      <c r="B33" s="6" t="s">
        <v>127</v>
      </c>
      <c r="I33" s="8">
        <f>I31+I32</f>
        <v>502424.66</v>
      </c>
    </row>
  </sheetData>
  <autoFilter ref="A4:J30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2.7109375" customWidth="1"/>
    <col min="2" max="2" width="48.7109375" customWidth="1"/>
    <col min="3" max="4" width="12.7109375" customWidth="1"/>
    <col min="5" max="6" width="17.7109375" customWidth="1"/>
    <col min="7" max="7" width="10.7109375" customWidth="1"/>
    <col min="8" max="9" width="17.7109375" customWidth="1"/>
    <col min="10" max="10" width="80.7109375" customWidth="1"/>
  </cols>
  <sheetData>
    <row r="1" spans="1:10">
      <c r="A1" s="1" t="s">
        <v>128</v>
      </c>
    </row>
    <row r="2" spans="1:10">
      <c r="A2" s="2" t="s">
        <v>51</v>
      </c>
    </row>
    <row r="4" spans="1:10" ht="35" customHeight="1">
      <c r="A4" s="6" t="s">
        <v>52</v>
      </c>
      <c r="B4" s="6" t="s">
        <v>53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</row>
    <row r="5" spans="1:10" ht="58" customHeight="1">
      <c r="A5" s="2" t="s">
        <v>129</v>
      </c>
      <c r="B5" s="2" t="s">
        <v>130</v>
      </c>
      <c r="C5" s="4">
        <v>1</v>
      </c>
      <c r="D5" s="2" t="s">
        <v>71</v>
      </c>
      <c r="E5" s="4">
        <v>3500</v>
      </c>
      <c r="F5" s="7">
        <f>ROUND(C5*E5,2)</f>
        <v>3500.0</v>
      </c>
      <c r="G5" s="5">
        <v>0.23</v>
      </c>
      <c r="H5" s="7">
        <f>ROUND(F5*G5,2)</f>
        <v>805.0</v>
      </c>
      <c r="I5" s="7">
        <f>F5+H5</f>
        <v>4305.0</v>
      </c>
      <c r="J5" s="2" t="s">
        <v>131</v>
      </c>
    </row>
    <row r="6" spans="1:10" ht="58" customHeight="1">
      <c r="A6" s="2" t="s">
        <v>129</v>
      </c>
      <c r="B6" s="2" t="s">
        <v>132</v>
      </c>
      <c r="C6" s="4">
        <v>1</v>
      </c>
      <c r="D6" s="2" t="s">
        <v>71</v>
      </c>
      <c r="E6" s="4">
        <v>5000</v>
      </c>
      <c r="F6" s="7">
        <f>ROUND(C6*E6,2)</f>
        <v>5000.0</v>
      </c>
      <c r="G6" s="5">
        <v>0.23</v>
      </c>
      <c r="H6" s="7">
        <f>ROUND(F6*G6,2)</f>
        <v>1150.0</v>
      </c>
      <c r="I6" s="7">
        <f>F6+H6</f>
        <v>6150.0</v>
      </c>
      <c r="J6" s="2" t="s">
        <v>133</v>
      </c>
    </row>
    <row r="7" spans="1:10" ht="58" customHeight="1">
      <c r="A7" s="2" t="s">
        <v>129</v>
      </c>
      <c r="B7" s="2" t="s">
        <v>134</v>
      </c>
      <c r="C7" s="4">
        <v>1</v>
      </c>
      <c r="D7" s="2" t="s">
        <v>71</v>
      </c>
      <c r="E7" s="4">
        <v>22000</v>
      </c>
      <c r="F7" s="7">
        <f>ROUND(C7*E7,2)</f>
        <v>22000.0</v>
      </c>
      <c r="G7" s="5">
        <v>0.23</v>
      </c>
      <c r="H7" s="7">
        <f>ROUND(F7*G7,2)</f>
        <v>5060.0</v>
      </c>
      <c r="I7" s="7">
        <f>F7+H7</f>
        <v>27060.0</v>
      </c>
      <c r="J7" s="2" t="s">
        <v>135</v>
      </c>
    </row>
    <row r="8" spans="1:10" ht="58" customHeight="1">
      <c r="A8" s="2" t="s">
        <v>129</v>
      </c>
      <c r="B8" s="2" t="s">
        <v>136</v>
      </c>
      <c r="C8" s="4">
        <v>1</v>
      </c>
      <c r="D8" s="2" t="s">
        <v>71</v>
      </c>
      <c r="E8" s="4">
        <v>5000</v>
      </c>
      <c r="F8" s="7">
        <f>ROUND(C8*E8,2)</f>
        <v>5000.0</v>
      </c>
      <c r="G8" s="5">
        <v>0.23</v>
      </c>
      <c r="H8" s="7">
        <f>ROUND(F8*G8,2)</f>
        <v>1150.0</v>
      </c>
      <c r="I8" s="7">
        <f>F8+H8</f>
        <v>6150.0</v>
      </c>
      <c r="J8" s="2" t="s">
        <v>137</v>
      </c>
    </row>
    <row r="9" spans="1:10" ht="58" customHeight="1">
      <c r="A9" s="2" t="s">
        <v>129</v>
      </c>
      <c r="B9" s="2" t="s">
        <v>138</v>
      </c>
      <c r="C9" s="4">
        <v>1</v>
      </c>
      <c r="D9" s="2" t="s">
        <v>71</v>
      </c>
      <c r="E9" s="4">
        <v>12000</v>
      </c>
      <c r="F9" s="7">
        <f>ROUND(C9*E9,2)</f>
        <v>12000.0</v>
      </c>
      <c r="G9" s="5">
        <v>0.08</v>
      </c>
      <c r="H9" s="7">
        <f>ROUND(F9*G9,2)</f>
        <v>960.0</v>
      </c>
      <c r="I9" s="7">
        <f>F9+H9</f>
        <v>12960.0</v>
      </c>
      <c r="J9" s="2" t="s">
        <v>139</v>
      </c>
    </row>
    <row r="10" spans="1:10" ht="58" customHeight="1">
      <c r="A10" s="2" t="s">
        <v>129</v>
      </c>
      <c r="B10" s="2" t="s">
        <v>140</v>
      </c>
      <c r="C10" s="4">
        <v>1</v>
      </c>
      <c r="D10" s="2" t="s">
        <v>71</v>
      </c>
      <c r="E10" s="4">
        <v>4000</v>
      </c>
      <c r="F10" s="7">
        <f>ROUND(C10*E10,2)</f>
        <v>4000.0</v>
      </c>
      <c r="G10" s="5">
        <v>0.08</v>
      </c>
      <c r="H10" s="7">
        <f>ROUND(F10*G10,2)</f>
        <v>320.0</v>
      </c>
      <c r="I10" s="7">
        <f>F10+H10</f>
        <v>4320.0</v>
      </c>
      <c r="J10" s="2" t="s">
        <v>141</v>
      </c>
    </row>
    <row r="11" spans="1:10" ht="58" customHeight="1">
      <c r="A11" s="2" t="s">
        <v>129</v>
      </c>
      <c r="B11" s="2" t="s">
        <v>142</v>
      </c>
      <c r="C11" s="4">
        <v>1</v>
      </c>
      <c r="D11" s="2" t="s">
        <v>71</v>
      </c>
      <c r="E11" s="4">
        <v>10000</v>
      </c>
      <c r="F11" s="7">
        <f>ROUND(C11*E11,2)</f>
        <v>10000.0</v>
      </c>
      <c r="G11" s="5">
        <v>0.23</v>
      </c>
      <c r="H11" s="7">
        <f>ROUND(F11*G11,2)</f>
        <v>2300.0</v>
      </c>
      <c r="I11" s="7">
        <f>F11+H11</f>
        <v>12300.0</v>
      </c>
      <c r="J11" s="2" t="s">
        <v>143</v>
      </c>
    </row>
    <row r="12" spans="1:10" ht="58" customHeight="1">
      <c r="A12" s="2" t="s">
        <v>129</v>
      </c>
      <c r="B12" s="2" t="s">
        <v>144</v>
      </c>
      <c r="C12" s="4">
        <v>1</v>
      </c>
      <c r="D12" s="2" t="s">
        <v>71</v>
      </c>
      <c r="E12" s="4">
        <v>20000</v>
      </c>
      <c r="F12" s="7">
        <f>ROUND(C12*E12,2)</f>
        <v>20000.0</v>
      </c>
      <c r="G12" s="5">
        <v>0.08</v>
      </c>
      <c r="H12" s="7">
        <f>ROUND(F12*G12,2)</f>
        <v>1600.0</v>
      </c>
      <c r="I12" s="7">
        <f>F12+H12</f>
        <v>21600.0</v>
      </c>
      <c r="J12" s="2" t="s">
        <v>145</v>
      </c>
    </row>
    <row r="13" spans="1:10" ht="58" customHeight="1">
      <c r="A13" s="2" t="s">
        <v>129</v>
      </c>
      <c r="B13" s="2" t="s">
        <v>146</v>
      </c>
      <c r="C13" s="4">
        <v>1</v>
      </c>
      <c r="D13" s="2" t="s">
        <v>71</v>
      </c>
      <c r="E13" s="4">
        <v>5000</v>
      </c>
      <c r="F13" s="7">
        <f>ROUND(C13*E13,2)</f>
        <v>5000.0</v>
      </c>
      <c r="G13" s="5">
        <v>0.08</v>
      </c>
      <c r="H13" s="7">
        <f>ROUND(F13*G13,2)</f>
        <v>400.0</v>
      </c>
      <c r="I13" s="7">
        <f>F13+H13</f>
        <v>5400.0</v>
      </c>
      <c r="J13" s="2" t="s">
        <v>147</v>
      </c>
    </row>
    <row r="14" spans="1:10" ht="58" customHeight="1">
      <c r="A14" s="2" t="s">
        <v>148</v>
      </c>
      <c r="B14" s="2" t="s">
        <v>149</v>
      </c>
      <c r="C14" s="4">
        <v>6</v>
      </c>
      <c r="D14" s="2" t="s">
        <v>150</v>
      </c>
      <c r="E14" s="4">
        <v>2729</v>
      </c>
      <c r="F14" s="7">
        <f>ROUND(C14*E14,2)</f>
        <v>16374.0</v>
      </c>
      <c r="G14" s="5">
        <v>0.08</v>
      </c>
      <c r="H14" s="7">
        <f>ROUND(F14*G14,2)</f>
        <v>1309.92</v>
      </c>
      <c r="I14" s="7">
        <f>F14+H14</f>
        <v>17683.92</v>
      </c>
      <c r="J14" s="2" t="s">
        <v>151</v>
      </c>
    </row>
    <row r="15" spans="1:10" ht="58" customHeight="1">
      <c r="A15" s="2" t="s">
        <v>148</v>
      </c>
      <c r="B15" s="2" t="s">
        <v>152</v>
      </c>
      <c r="C15" s="4">
        <v>1</v>
      </c>
      <c r="D15" s="2" t="s">
        <v>71</v>
      </c>
      <c r="E15" s="4">
        <v>5000</v>
      </c>
      <c r="F15" s="7">
        <f>ROUND(C15*E15,2)</f>
        <v>5000.0</v>
      </c>
      <c r="G15" s="5">
        <v>0.08</v>
      </c>
      <c r="H15" s="7">
        <f>ROUND(F15*G15,2)</f>
        <v>400.0</v>
      </c>
      <c r="I15" s="7">
        <f>F15+H15</f>
        <v>5400.0</v>
      </c>
      <c r="J15" s="2" t="s">
        <v>153</v>
      </c>
    </row>
    <row r="16" spans="1:10" ht="58" customHeight="1">
      <c r="A16" s="2" t="s">
        <v>148</v>
      </c>
      <c r="B16" s="2" t="s">
        <v>154</v>
      </c>
      <c r="C16" s="4">
        <v>1</v>
      </c>
      <c r="D16" s="2" t="s">
        <v>71</v>
      </c>
      <c r="E16" s="4">
        <v>18000</v>
      </c>
      <c r="F16" s="7">
        <f>ROUND(C16*E16,2)</f>
        <v>18000.0</v>
      </c>
      <c r="G16" s="5">
        <v>0.08</v>
      </c>
      <c r="H16" s="7">
        <f>ROUND(F16*G16,2)</f>
        <v>1440.0</v>
      </c>
      <c r="I16" s="7">
        <f>F16+H16</f>
        <v>19440.0</v>
      </c>
      <c r="J16" s="2" t="s">
        <v>155</v>
      </c>
    </row>
    <row r="17" spans="1:10" ht="58" customHeight="1">
      <c r="A17" s="2" t="s">
        <v>148</v>
      </c>
      <c r="B17" s="2" t="s">
        <v>156</v>
      </c>
      <c r="C17" s="4">
        <v>170</v>
      </c>
      <c r="D17" s="2" t="s">
        <v>157</v>
      </c>
      <c r="E17" s="4">
        <v>60</v>
      </c>
      <c r="F17" s="7">
        <f>ROUND(C17*E17,2)</f>
        <v>10200.0</v>
      </c>
      <c r="G17" s="5">
        <v>0.08</v>
      </c>
      <c r="H17" s="7">
        <f>ROUND(F17*G17,2)</f>
        <v>816.0</v>
      </c>
      <c r="I17" s="7">
        <f>F17+H17</f>
        <v>11016.0</v>
      </c>
      <c r="J17" s="2" t="s">
        <v>158</v>
      </c>
    </row>
    <row r="18" spans="1:10" ht="58" customHeight="1">
      <c r="A18" s="2" t="s">
        <v>148</v>
      </c>
      <c r="B18" s="2" t="s">
        <v>159</v>
      </c>
      <c r="C18" s="4">
        <v>88</v>
      </c>
      <c r="D18" s="2" t="s">
        <v>64</v>
      </c>
      <c r="E18" s="4">
        <v>86</v>
      </c>
      <c r="F18" s="7">
        <f>ROUND(C18*E18,2)</f>
        <v>7568.0</v>
      </c>
      <c r="G18" s="5">
        <v>0.08</v>
      </c>
      <c r="H18" s="7">
        <f>ROUND(F18*G18,2)</f>
        <v>605.44</v>
      </c>
      <c r="I18" s="7">
        <f>F18+H18</f>
        <v>8173.44</v>
      </c>
      <c r="J18" s="2" t="s">
        <v>160</v>
      </c>
    </row>
    <row r="19" spans="1:10" ht="58" customHeight="1">
      <c r="A19" s="2" t="s">
        <v>148</v>
      </c>
      <c r="B19" s="2" t="s">
        <v>161</v>
      </c>
      <c r="C19" s="4">
        <v>88</v>
      </c>
      <c r="D19" s="2" t="s">
        <v>64</v>
      </c>
      <c r="E19" s="4">
        <v>63</v>
      </c>
      <c r="F19" s="7">
        <f>ROUND(C19*E19,2)</f>
        <v>5544.0</v>
      </c>
      <c r="G19" s="5">
        <v>0.08</v>
      </c>
      <c r="H19" s="7">
        <f>ROUND(F19*G19,2)</f>
        <v>443.52</v>
      </c>
      <c r="I19" s="7">
        <f>F19+H19</f>
        <v>5987.52</v>
      </c>
      <c r="J19" s="2" t="s">
        <v>162</v>
      </c>
    </row>
    <row r="20" spans="1:10" ht="58" customHeight="1">
      <c r="A20" s="2" t="s">
        <v>148</v>
      </c>
      <c r="B20" s="2" t="s">
        <v>163</v>
      </c>
      <c r="C20" s="4">
        <v>80</v>
      </c>
      <c r="D20" s="2" t="s">
        <v>64</v>
      </c>
      <c r="E20" s="4">
        <v>120</v>
      </c>
      <c r="F20" s="7">
        <f>ROUND(C20*E20,2)</f>
        <v>9600.0</v>
      </c>
      <c r="G20" s="5">
        <v>0.08</v>
      </c>
      <c r="H20" s="7">
        <f>ROUND(F20*G20,2)</f>
        <v>768.0</v>
      </c>
      <c r="I20" s="7">
        <f>F20+H20</f>
        <v>10368.0</v>
      </c>
      <c r="J20" s="2" t="s">
        <v>164</v>
      </c>
    </row>
    <row r="21" spans="1:10" ht="58" customHeight="1">
      <c r="A21" s="2" t="s">
        <v>148</v>
      </c>
      <c r="B21" s="2" t="s">
        <v>165</v>
      </c>
      <c r="C21" s="4">
        <v>30</v>
      </c>
      <c r="D21" s="2" t="s">
        <v>64</v>
      </c>
      <c r="E21" s="4">
        <v>45</v>
      </c>
      <c r="F21" s="7">
        <f>ROUND(C21*E21,2)</f>
        <v>1350.0</v>
      </c>
      <c r="G21" s="5">
        <v>0.08</v>
      </c>
      <c r="H21" s="7">
        <f>ROUND(F21*G21,2)</f>
        <v>108.0</v>
      </c>
      <c r="I21" s="7">
        <f>F21+H21</f>
        <v>1458.0</v>
      </c>
      <c r="J21" s="2" t="s">
        <v>166</v>
      </c>
    </row>
    <row r="22" spans="1:10" ht="58" customHeight="1">
      <c r="A22" s="2" t="s">
        <v>148</v>
      </c>
      <c r="B22" s="2" t="s">
        <v>167</v>
      </c>
      <c r="C22" s="4">
        <v>168</v>
      </c>
      <c r="D22" s="2" t="s">
        <v>168</v>
      </c>
      <c r="E22" s="4">
        <v>40</v>
      </c>
      <c r="F22" s="7">
        <f>ROUND(C22*E22,2)</f>
        <v>6720.0</v>
      </c>
      <c r="G22" s="5">
        <v>0.08</v>
      </c>
      <c r="H22" s="7">
        <f>ROUND(F22*G22,2)</f>
        <v>537.6</v>
      </c>
      <c r="I22" s="7">
        <f>F22+H22</f>
        <v>7257.6</v>
      </c>
      <c r="J22" s="2" t="s">
        <v>169</v>
      </c>
    </row>
    <row r="23" spans="1:10" ht="58" customHeight="1">
      <c r="A23" s="2" t="s">
        <v>148</v>
      </c>
      <c r="B23" s="2" t="s">
        <v>170</v>
      </c>
      <c r="C23" s="4">
        <v>88</v>
      </c>
      <c r="D23" s="2" t="s">
        <v>64</v>
      </c>
      <c r="E23" s="4">
        <v>190</v>
      </c>
      <c r="F23" s="7">
        <f>ROUND(C23*E23,2)</f>
        <v>16720.0</v>
      </c>
      <c r="G23" s="5">
        <v>0.08</v>
      </c>
      <c r="H23" s="7">
        <f>ROUND(F23*G23,2)</f>
        <v>1337.6</v>
      </c>
      <c r="I23" s="7">
        <f>F23+H23</f>
        <v>18057.6</v>
      </c>
      <c r="J23" s="2" t="s">
        <v>171</v>
      </c>
    </row>
    <row r="24" spans="1:10" ht="58" customHeight="1">
      <c r="A24" s="2" t="s">
        <v>148</v>
      </c>
      <c r="B24" s="2" t="s">
        <v>172</v>
      </c>
      <c r="C24" s="4">
        <v>80</v>
      </c>
      <c r="D24" s="2" t="s">
        <v>64</v>
      </c>
      <c r="E24" s="4">
        <v>190</v>
      </c>
      <c r="F24" s="7">
        <f>ROUND(C24*E24,2)</f>
        <v>15200.0</v>
      </c>
      <c r="G24" s="5">
        <v>0.08</v>
      </c>
      <c r="H24" s="7">
        <f>ROUND(F24*G24,2)</f>
        <v>1216.0</v>
      </c>
      <c r="I24" s="7">
        <f>F24+H24</f>
        <v>16416.0</v>
      </c>
      <c r="J24" s="2" t="s">
        <v>173</v>
      </c>
    </row>
    <row r="25" spans="1:10" ht="58" customHeight="1">
      <c r="A25" s="2" t="s">
        <v>148</v>
      </c>
      <c r="B25" s="2" t="s">
        <v>174</v>
      </c>
      <c r="C25" s="4">
        <v>1</v>
      </c>
      <c r="D25" s="2" t="s">
        <v>71</v>
      </c>
      <c r="E25" s="4">
        <v>3000</v>
      </c>
      <c r="F25" s="7">
        <f>ROUND(C25*E25,2)</f>
        <v>3000.0</v>
      </c>
      <c r="G25" s="5">
        <v>0.08</v>
      </c>
      <c r="H25" s="7">
        <f>ROUND(F25*G25,2)</f>
        <v>240.0</v>
      </c>
      <c r="I25" s="7">
        <f>F25+H25</f>
        <v>3240.0</v>
      </c>
      <c r="J25" s="2" t="s">
        <v>175</v>
      </c>
    </row>
    <row r="26" spans="1:10" ht="58" customHeight="1">
      <c r="A26" s="2" t="s">
        <v>148</v>
      </c>
      <c r="B26" s="2" t="s">
        <v>176</v>
      </c>
      <c r="C26" s="4">
        <v>13</v>
      </c>
      <c r="D26" s="2" t="s">
        <v>64</v>
      </c>
      <c r="E26" s="4">
        <v>1300</v>
      </c>
      <c r="F26" s="7">
        <f>ROUND(C26*E26,2)</f>
        <v>16900.0</v>
      </c>
      <c r="G26" s="5">
        <v>0.08</v>
      </c>
      <c r="H26" s="7">
        <f>ROUND(F26*G26,2)</f>
        <v>1352.0</v>
      </c>
      <c r="I26" s="7">
        <f>F26+H26</f>
        <v>18252.0</v>
      </c>
      <c r="J26" s="2" t="s">
        <v>177</v>
      </c>
    </row>
    <row r="27" spans="1:10" ht="58" customHeight="1">
      <c r="A27" s="2" t="s">
        <v>148</v>
      </c>
      <c r="B27" s="2" t="s">
        <v>178</v>
      </c>
      <c r="C27" s="4">
        <v>1</v>
      </c>
      <c r="D27" s="2" t="s">
        <v>100</v>
      </c>
      <c r="E27" s="4">
        <v>2800</v>
      </c>
      <c r="F27" s="7">
        <f>ROUND(C27*E27,2)</f>
        <v>2800.0</v>
      </c>
      <c r="G27" s="5">
        <v>0.08</v>
      </c>
      <c r="H27" s="7">
        <f>ROUND(F27*G27,2)</f>
        <v>224.0</v>
      </c>
      <c r="I27" s="7">
        <f>F27+H27</f>
        <v>3024.0</v>
      </c>
      <c r="J27" s="2" t="s">
        <v>179</v>
      </c>
    </row>
    <row r="28" spans="1:10" ht="58" customHeight="1">
      <c r="A28" s="2" t="s">
        <v>180</v>
      </c>
      <c r="B28" s="2" t="s">
        <v>181</v>
      </c>
      <c r="C28" s="4">
        <v>200</v>
      </c>
      <c r="D28" s="2" t="s">
        <v>157</v>
      </c>
      <c r="E28" s="4">
        <v>105</v>
      </c>
      <c r="F28" s="7">
        <f>ROUND(C28*E28,2)</f>
        <v>21000.0</v>
      </c>
      <c r="G28" s="5">
        <v>0.08</v>
      </c>
      <c r="H28" s="7">
        <f>ROUND(F28*G28,2)</f>
        <v>1680.0</v>
      </c>
      <c r="I28" s="7">
        <f>F28+H28</f>
        <v>22680.0</v>
      </c>
      <c r="J28" s="2" t="s">
        <v>182</v>
      </c>
    </row>
    <row r="29" spans="1:10" ht="58" customHeight="1">
      <c r="A29" s="2" t="s">
        <v>180</v>
      </c>
      <c r="B29" s="2" t="s">
        <v>183</v>
      </c>
      <c r="C29" s="4">
        <v>20</v>
      </c>
      <c r="D29" s="2" t="s">
        <v>157</v>
      </c>
      <c r="E29" s="4">
        <v>165</v>
      </c>
      <c r="F29" s="7">
        <f>ROUND(C29*E29,2)</f>
        <v>3300.0</v>
      </c>
      <c r="G29" s="5">
        <v>0.08</v>
      </c>
      <c r="H29" s="7">
        <f>ROUND(F29*G29,2)</f>
        <v>264.0</v>
      </c>
      <c r="I29" s="7">
        <f>F29+H29</f>
        <v>3564.0</v>
      </c>
      <c r="J29" s="2" t="s">
        <v>184</v>
      </c>
    </row>
    <row r="30" spans="1:10" ht="58" customHeight="1">
      <c r="A30" s="2" t="s">
        <v>180</v>
      </c>
      <c r="B30" s="2" t="s">
        <v>185</v>
      </c>
      <c r="C30" s="4">
        <v>65</v>
      </c>
      <c r="D30" s="2" t="s">
        <v>64</v>
      </c>
      <c r="E30" s="4">
        <v>230</v>
      </c>
      <c r="F30" s="7">
        <f>ROUND(C30*E30,2)</f>
        <v>14950.0</v>
      </c>
      <c r="G30" s="5">
        <v>0.08</v>
      </c>
      <c r="H30" s="7">
        <f>ROUND(F30*G30,2)</f>
        <v>1196.0</v>
      </c>
      <c r="I30" s="7">
        <f>F30+H30</f>
        <v>16146.0</v>
      </c>
      <c r="J30" s="2" t="s">
        <v>186</v>
      </c>
    </row>
    <row r="31" spans="1:10" ht="58" customHeight="1">
      <c r="A31" s="2" t="s">
        <v>180</v>
      </c>
      <c r="B31" s="2" t="s">
        <v>187</v>
      </c>
      <c r="C31" s="4">
        <v>50</v>
      </c>
      <c r="D31" s="2" t="s">
        <v>68</v>
      </c>
      <c r="E31" s="4">
        <v>180</v>
      </c>
      <c r="F31" s="7">
        <f>ROUND(C31*E31,2)</f>
        <v>9000.0</v>
      </c>
      <c r="G31" s="5">
        <v>0.08</v>
      </c>
      <c r="H31" s="7">
        <f>ROUND(F31*G31,2)</f>
        <v>720.0</v>
      </c>
      <c r="I31" s="7">
        <f>F31+H31</f>
        <v>9720.0</v>
      </c>
      <c r="J31" s="2" t="s">
        <v>188</v>
      </c>
    </row>
    <row r="32" spans="1:10" ht="58" customHeight="1">
      <c r="A32" s="2" t="s">
        <v>180</v>
      </c>
      <c r="B32" s="2" t="s">
        <v>189</v>
      </c>
      <c r="C32" s="4">
        <v>1</v>
      </c>
      <c r="D32" s="2" t="s">
        <v>71</v>
      </c>
      <c r="E32" s="4">
        <v>1500</v>
      </c>
      <c r="F32" s="7">
        <f>ROUND(C32*E32,2)</f>
        <v>1500.0</v>
      </c>
      <c r="G32" s="5">
        <v>0.08</v>
      </c>
      <c r="H32" s="7">
        <f>ROUND(F32*G32,2)</f>
        <v>120.0</v>
      </c>
      <c r="I32" s="7">
        <f>F32+H32</f>
        <v>1620.0</v>
      </c>
      <c r="J32" s="2" t="s">
        <v>190</v>
      </c>
    </row>
    <row r="33" spans="1:10" ht="58" customHeight="1">
      <c r="A33" s="2" t="s">
        <v>180</v>
      </c>
      <c r="B33" s="2" t="s">
        <v>191</v>
      </c>
      <c r="C33" s="4">
        <v>8</v>
      </c>
      <c r="D33" s="2" t="s">
        <v>68</v>
      </c>
      <c r="E33" s="4">
        <v>600</v>
      </c>
      <c r="F33" s="7">
        <f>ROUND(C33*E33,2)</f>
        <v>4800.0</v>
      </c>
      <c r="G33" s="5">
        <v>0.08</v>
      </c>
      <c r="H33" s="7">
        <f>ROUND(F33*G33,2)</f>
        <v>384.0</v>
      </c>
      <c r="I33" s="7">
        <f>F33+H33</f>
        <v>5184.0</v>
      </c>
      <c r="J33" s="2" t="s">
        <v>192</v>
      </c>
    </row>
    <row r="34" spans="1:10" ht="58" customHeight="1">
      <c r="A34" s="2" t="s">
        <v>180</v>
      </c>
      <c r="B34" s="2" t="s">
        <v>193</v>
      </c>
      <c r="C34" s="4">
        <v>1</v>
      </c>
      <c r="D34" s="2" t="s">
        <v>71</v>
      </c>
      <c r="E34" s="4">
        <v>3000</v>
      </c>
      <c r="F34" s="7">
        <f>ROUND(C34*E34,2)</f>
        <v>3000.0</v>
      </c>
      <c r="G34" s="5">
        <v>0.08</v>
      </c>
      <c r="H34" s="7">
        <f>ROUND(F34*G34,2)</f>
        <v>240.0</v>
      </c>
      <c r="I34" s="7">
        <f>F34+H34</f>
        <v>3240.0</v>
      </c>
      <c r="J34" s="2" t="s">
        <v>194</v>
      </c>
    </row>
    <row r="35" spans="1:10" ht="58" customHeight="1">
      <c r="A35" s="2" t="s">
        <v>180</v>
      </c>
      <c r="B35" s="2" t="s">
        <v>195</v>
      </c>
      <c r="C35" s="4">
        <v>1</v>
      </c>
      <c r="D35" s="2" t="s">
        <v>71</v>
      </c>
      <c r="E35" s="4">
        <v>6500</v>
      </c>
      <c r="F35" s="7">
        <f>ROUND(C35*E35,2)</f>
        <v>6500.0</v>
      </c>
      <c r="G35" s="5">
        <v>0.08</v>
      </c>
      <c r="H35" s="7">
        <f>ROUND(F35*G35,2)</f>
        <v>520.0</v>
      </c>
      <c r="I35" s="7">
        <f>F35+H35</f>
        <v>7020.0</v>
      </c>
      <c r="J35" s="2" t="s">
        <v>196</v>
      </c>
    </row>
    <row r="36" spans="1:10" ht="58" customHeight="1">
      <c r="A36" s="2" t="s">
        <v>180</v>
      </c>
      <c r="B36" s="2" t="s">
        <v>197</v>
      </c>
      <c r="C36" s="4">
        <v>1</v>
      </c>
      <c r="D36" s="2" t="s">
        <v>71</v>
      </c>
      <c r="E36" s="4">
        <v>2100</v>
      </c>
      <c r="F36" s="7">
        <f>ROUND(C36*E36,2)</f>
        <v>2100.0</v>
      </c>
      <c r="G36" s="5">
        <v>0.08</v>
      </c>
      <c r="H36" s="7">
        <f>ROUND(F36*G36,2)</f>
        <v>168.0</v>
      </c>
      <c r="I36" s="7">
        <f>F36+H36</f>
        <v>2268.0</v>
      </c>
      <c r="J36" s="2" t="s">
        <v>198</v>
      </c>
    </row>
    <row r="37" spans="1:10" ht="58" customHeight="1">
      <c r="A37" s="2" t="s">
        <v>180</v>
      </c>
      <c r="B37" s="2" t="s">
        <v>199</v>
      </c>
      <c r="C37" s="4">
        <v>1</v>
      </c>
      <c r="D37" s="2" t="s">
        <v>71</v>
      </c>
      <c r="E37" s="4">
        <v>6000</v>
      </c>
      <c r="F37" s="7">
        <f>ROUND(C37*E37,2)</f>
        <v>6000.0</v>
      </c>
      <c r="G37" s="5">
        <v>0.08</v>
      </c>
      <c r="H37" s="7">
        <f>ROUND(F37*G37,2)</f>
        <v>480.0</v>
      </c>
      <c r="I37" s="7">
        <f>F37+H37</f>
        <v>6480.0</v>
      </c>
      <c r="J37" s="2" t="s">
        <v>200</v>
      </c>
    </row>
    <row r="38" spans="1:10" ht="58" customHeight="1">
      <c r="A38" s="2" t="s">
        <v>201</v>
      </c>
      <c r="B38" s="2" t="s">
        <v>202</v>
      </c>
      <c r="C38" s="4">
        <v>50</v>
      </c>
      <c r="D38" s="2" t="s">
        <v>64</v>
      </c>
      <c r="E38" s="4">
        <v>100</v>
      </c>
      <c r="F38" s="7">
        <f>ROUND(C38*E38,2)</f>
        <v>5000.0</v>
      </c>
      <c r="G38" s="5">
        <v>0.08</v>
      </c>
      <c r="H38" s="7">
        <f>ROUND(F38*G38,2)</f>
        <v>400.0</v>
      </c>
      <c r="I38" s="7">
        <f>F38+H38</f>
        <v>5400.0</v>
      </c>
      <c r="J38" s="2" t="s">
        <v>203</v>
      </c>
    </row>
    <row r="39" spans="1:10" ht="58" customHeight="1">
      <c r="A39" s="2" t="s">
        <v>201</v>
      </c>
      <c r="B39" s="2" t="s">
        <v>81</v>
      </c>
      <c r="C39" s="4">
        <v>180</v>
      </c>
      <c r="D39" s="2" t="s">
        <v>204</v>
      </c>
      <c r="E39" s="4">
        <v>30</v>
      </c>
      <c r="F39" s="7">
        <f>ROUND(C39*E39,2)</f>
        <v>5400.0</v>
      </c>
      <c r="G39" s="5">
        <v>0.08</v>
      </c>
      <c r="H39" s="7">
        <f>ROUND(F39*G39,2)</f>
        <v>432.0</v>
      </c>
      <c r="I39" s="7">
        <f>F39+H39</f>
        <v>5832.0</v>
      </c>
      <c r="J39" s="2" t="s">
        <v>205</v>
      </c>
    </row>
    <row r="40" spans="1:10" ht="58" customHeight="1">
      <c r="A40" s="2" t="s">
        <v>201</v>
      </c>
      <c r="B40" s="2" t="s">
        <v>206</v>
      </c>
      <c r="C40" s="4">
        <v>20</v>
      </c>
      <c r="D40" s="2" t="s">
        <v>64</v>
      </c>
      <c r="E40" s="4">
        <v>175</v>
      </c>
      <c r="F40" s="7">
        <f>ROUND(C40*E40,2)</f>
        <v>3500.0</v>
      </c>
      <c r="G40" s="5">
        <v>0.08</v>
      </c>
      <c r="H40" s="7">
        <f>ROUND(F40*G40,2)</f>
        <v>280.0</v>
      </c>
      <c r="I40" s="7">
        <f>F40+H40</f>
        <v>3780.0</v>
      </c>
      <c r="J40" s="2" t="s">
        <v>207</v>
      </c>
    </row>
    <row r="41" spans="1:10" ht="58" customHeight="1">
      <c r="A41" s="2" t="s">
        <v>201</v>
      </c>
      <c r="B41" s="2" t="s">
        <v>208</v>
      </c>
      <c r="C41" s="4">
        <v>20</v>
      </c>
      <c r="D41" s="2" t="s">
        <v>64</v>
      </c>
      <c r="E41" s="4">
        <v>90</v>
      </c>
      <c r="F41" s="7">
        <f>ROUND(C41*E41,2)</f>
        <v>1800.0</v>
      </c>
      <c r="G41" s="5">
        <v>0.08</v>
      </c>
      <c r="H41" s="7">
        <f>ROUND(F41*G41,2)</f>
        <v>144.0</v>
      </c>
      <c r="I41" s="7">
        <f>F41+H41</f>
        <v>1944.0</v>
      </c>
      <c r="J41" s="2" t="s">
        <v>209</v>
      </c>
    </row>
    <row r="42" spans="1:10" ht="58" customHeight="1">
      <c r="A42" s="2" t="s">
        <v>201</v>
      </c>
      <c r="B42" s="2" t="s">
        <v>99</v>
      </c>
      <c r="C42" s="4">
        <v>3</v>
      </c>
      <c r="D42" s="2" t="s">
        <v>100</v>
      </c>
      <c r="E42" s="4">
        <v>1700</v>
      </c>
      <c r="F42" s="7">
        <f>ROUND(C42*E42,2)</f>
        <v>5100.0</v>
      </c>
      <c r="G42" s="5">
        <v>0.08</v>
      </c>
      <c r="H42" s="7">
        <f>ROUND(F42*G42,2)</f>
        <v>408.0</v>
      </c>
      <c r="I42" s="7">
        <f>F42+H42</f>
        <v>5508.0</v>
      </c>
      <c r="J42" s="2" t="s">
        <v>210</v>
      </c>
    </row>
    <row r="43" spans="1:10" ht="58" customHeight="1">
      <c r="A43" s="2" t="s">
        <v>201</v>
      </c>
      <c r="B43" s="2" t="s">
        <v>211</v>
      </c>
      <c r="C43" s="4">
        <v>1</v>
      </c>
      <c r="D43" s="2" t="s">
        <v>71</v>
      </c>
      <c r="E43" s="4">
        <v>8500</v>
      </c>
      <c r="F43" s="7">
        <f>ROUND(C43*E43,2)</f>
        <v>8500.0</v>
      </c>
      <c r="G43" s="5">
        <v>0.08</v>
      </c>
      <c r="H43" s="7">
        <f>ROUND(F43*G43,2)</f>
        <v>680.0</v>
      </c>
      <c r="I43" s="7">
        <f>F43+H43</f>
        <v>9180.0</v>
      </c>
      <c r="J43" s="2" t="s">
        <v>212</v>
      </c>
    </row>
    <row r="44" spans="1:10" ht="58" customHeight="1">
      <c r="A44" s="2" t="s">
        <v>106</v>
      </c>
      <c r="B44" s="2" t="s">
        <v>213</v>
      </c>
      <c r="C44" s="4">
        <v>1</v>
      </c>
      <c r="D44" s="2" t="s">
        <v>71</v>
      </c>
      <c r="E44" s="4">
        <v>15000</v>
      </c>
      <c r="F44" s="7">
        <f>ROUND(C44*E44,2)</f>
        <v>15000.0</v>
      </c>
      <c r="G44" s="5">
        <v>0.08</v>
      </c>
      <c r="H44" s="7">
        <f>ROUND(F44*G44,2)</f>
        <v>1200.0</v>
      </c>
      <c r="I44" s="7">
        <f>F44+H44</f>
        <v>16200.0</v>
      </c>
      <c r="J44" s="2" t="s">
        <v>214</v>
      </c>
    </row>
    <row r="45" spans="1:10" ht="58" customHeight="1">
      <c r="A45" s="2" t="s">
        <v>215</v>
      </c>
      <c r="B45" s="2" t="s">
        <v>216</v>
      </c>
      <c r="C45" s="4">
        <v>1</v>
      </c>
      <c r="D45" s="2" t="s">
        <v>71</v>
      </c>
      <c r="E45" s="4">
        <v>6000</v>
      </c>
      <c r="F45" s="7">
        <f>ROUND(C45*E45,2)</f>
        <v>6000.0</v>
      </c>
      <c r="G45" s="5">
        <v>0.23</v>
      </c>
      <c r="H45" s="7">
        <f>ROUND(F45*G45,2)</f>
        <v>1380.0</v>
      </c>
      <c r="I45" s="7">
        <f>F45+H45</f>
        <v>7380.0</v>
      </c>
      <c r="J45" s="2" t="s">
        <v>217</v>
      </c>
    </row>
    <row r="46" spans="1:10" ht="58" customHeight="1">
      <c r="A46" s="2" t="s">
        <v>215</v>
      </c>
      <c r="B46" s="2" t="s">
        <v>218</v>
      </c>
      <c r="C46" s="4">
        <v>1</v>
      </c>
      <c r="D46" s="2" t="s">
        <v>71</v>
      </c>
      <c r="E46" s="4">
        <v>35000</v>
      </c>
      <c r="F46" s="7">
        <f>ROUND(C46*E46,2)</f>
        <v>35000.0</v>
      </c>
      <c r="G46" s="5">
        <v>0.08</v>
      </c>
      <c r="H46" s="7">
        <f>ROUND(F46*G46,2)</f>
        <v>2800.0</v>
      </c>
      <c r="I46" s="7">
        <f>F46+H46</f>
        <v>37800.0</v>
      </c>
      <c r="J46" s="2" t="s">
        <v>217</v>
      </c>
    </row>
    <row r="47" spans="1:10" ht="58" customHeight="1">
      <c r="A47" s="2" t="s">
        <v>215</v>
      </c>
      <c r="B47" s="2" t="s">
        <v>219</v>
      </c>
      <c r="C47" s="4">
        <v>50</v>
      </c>
      <c r="D47" s="2" t="s">
        <v>64</v>
      </c>
      <c r="E47" s="4">
        <v>350</v>
      </c>
      <c r="F47" s="7">
        <f>ROUND(C47*E47,2)</f>
        <v>17500.0</v>
      </c>
      <c r="G47" s="5">
        <v>0.08</v>
      </c>
      <c r="H47" s="7">
        <f>ROUND(F47*G47,2)</f>
        <v>1400.0</v>
      </c>
      <c r="I47" s="7">
        <f>F47+H47</f>
        <v>18900.0</v>
      </c>
      <c r="J47" s="2" t="s">
        <v>217</v>
      </c>
    </row>
    <row r="48" spans="1:10" ht="58" customHeight="1">
      <c r="A48" s="2" t="s">
        <v>215</v>
      </c>
      <c r="B48" s="2" t="s">
        <v>220</v>
      </c>
      <c r="C48" s="4">
        <v>50</v>
      </c>
      <c r="D48" s="2" t="s">
        <v>64</v>
      </c>
      <c r="E48" s="4">
        <v>370</v>
      </c>
      <c r="F48" s="7">
        <f>ROUND(C48*E48,2)</f>
        <v>18500.0</v>
      </c>
      <c r="G48" s="5">
        <v>0.08</v>
      </c>
      <c r="H48" s="7">
        <f>ROUND(F48*G48,2)</f>
        <v>1480.0</v>
      </c>
      <c r="I48" s="7">
        <f>F48+H48</f>
        <v>19980.0</v>
      </c>
      <c r="J48" s="2" t="s">
        <v>217</v>
      </c>
    </row>
    <row r="49" spans="1:10" ht="58" customHeight="1">
      <c r="A49" s="2" t="s">
        <v>215</v>
      </c>
      <c r="B49" s="2" t="s">
        <v>221</v>
      </c>
      <c r="C49" s="4">
        <v>30</v>
      </c>
      <c r="D49" s="2" t="s">
        <v>222</v>
      </c>
      <c r="E49" s="4">
        <v>800</v>
      </c>
      <c r="F49" s="7">
        <f>ROUND(C49*E49,2)</f>
        <v>24000.0</v>
      </c>
      <c r="G49" s="5">
        <v>0.08</v>
      </c>
      <c r="H49" s="7">
        <f>ROUND(F49*G49,2)</f>
        <v>1920.0</v>
      </c>
      <c r="I49" s="7">
        <f>F49+H49</f>
        <v>25920.0</v>
      </c>
      <c r="J49" s="2" t="s">
        <v>223</v>
      </c>
    </row>
    <row r="50" spans="1:10" ht="58" customHeight="1">
      <c r="A50" s="2" t="s">
        <v>215</v>
      </c>
      <c r="B50" s="2" t="s">
        <v>224</v>
      </c>
      <c r="C50" s="4">
        <v>1</v>
      </c>
      <c r="D50" s="2" t="s">
        <v>71</v>
      </c>
      <c r="E50" s="4">
        <v>18000</v>
      </c>
      <c r="F50" s="7">
        <f>ROUND(C50*E50,2)</f>
        <v>18000.0</v>
      </c>
      <c r="G50" s="5">
        <v>0.08</v>
      </c>
      <c r="H50" s="7">
        <f>ROUND(F50*G50,2)</f>
        <v>1440.0</v>
      </c>
      <c r="I50" s="7">
        <f>F50+H50</f>
        <v>19440.0</v>
      </c>
      <c r="J50" s="2" t="s">
        <v>217</v>
      </c>
    </row>
    <row r="51" spans="1:10" ht="58" customHeight="1">
      <c r="A51" s="2" t="s">
        <v>215</v>
      </c>
      <c r="B51" s="2" t="s">
        <v>225</v>
      </c>
      <c r="C51" s="4">
        <v>1</v>
      </c>
      <c r="D51" s="2" t="s">
        <v>71</v>
      </c>
      <c r="E51" s="4">
        <v>5000</v>
      </c>
      <c r="F51" s="7">
        <f>ROUND(C51*E51,2)</f>
        <v>5000.0</v>
      </c>
      <c r="G51" s="5">
        <v>0.08</v>
      </c>
      <c r="H51" s="7">
        <f>ROUND(F51*G51,2)</f>
        <v>400.0</v>
      </c>
      <c r="I51" s="7">
        <f>F51+H51</f>
        <v>5400.0</v>
      </c>
      <c r="J51" s="2" t="s">
        <v>217</v>
      </c>
    </row>
    <row r="52" spans="1:10" ht="58" customHeight="1">
      <c r="A52" s="2" t="s">
        <v>226</v>
      </c>
      <c r="B52" s="2" t="s">
        <v>227</v>
      </c>
      <c r="C52" s="4">
        <v>1</v>
      </c>
      <c r="D52" s="2" t="s">
        <v>71</v>
      </c>
      <c r="E52" s="4">
        <v>14500</v>
      </c>
      <c r="F52" s="7">
        <f>ROUND(C52*E52,2)</f>
        <v>14500</v>
      </c>
      <c r="G52" s="5">
        <v>0.08</v>
      </c>
      <c r="H52" s="7">
        <f>ROUND(F52*G52,2)</f>
        <v>1160.0</v>
      </c>
      <c r="I52" s="7">
        <f>F52+H52</f>
        <v>15660.0</v>
      </c>
      <c r="J52" s="2" t="s">
        <v>228</v>
      </c>
    </row>
    <row r="53" spans="1:10" ht="58" customHeight="1">
      <c r="A53" s="2" t="s">
        <v>226</v>
      </c>
      <c r="B53" s="2" t="s">
        <v>229</v>
      </c>
      <c r="C53" s="4">
        <v>1</v>
      </c>
      <c r="D53" s="2" t="s">
        <v>71</v>
      </c>
      <c r="E53" s="4">
        <v>6500</v>
      </c>
      <c r="F53" s="7">
        <f>ROUND(C53*E53,2)</f>
        <v>6500</v>
      </c>
      <c r="G53" s="5">
        <v>0.23</v>
      </c>
      <c r="H53" s="7">
        <f>ROUND(F53*G53,2)</f>
        <v>1495.0</v>
      </c>
      <c r="I53" s="7">
        <f>F53+H53</f>
        <v>7995.0</v>
      </c>
      <c r="J53" s="2" t="s">
        <v>228</v>
      </c>
    </row>
    <row r="54" spans="1:10" ht="58" customHeight="1">
      <c r="A54" s="2" t="s">
        <v>226</v>
      </c>
      <c r="B54" s="2" t="s">
        <v>230</v>
      </c>
      <c r="C54" s="4">
        <v>1</v>
      </c>
      <c r="D54" s="2" t="s">
        <v>71</v>
      </c>
      <c r="E54" s="4">
        <v>10000</v>
      </c>
      <c r="F54" s="7">
        <f>ROUND(C54*E54,2)</f>
        <v>10000</v>
      </c>
      <c r="G54" s="5">
        <v>0.23</v>
      </c>
      <c r="H54" s="7">
        <f>ROUND(F54*G54,2)</f>
        <v>2300.0</v>
      </c>
      <c r="I54" s="7">
        <f>F54+H54</f>
        <v>12300.0</v>
      </c>
      <c r="J54" s="2" t="s">
        <v>228</v>
      </c>
    </row>
    <row r="55" spans="1:10">
      <c r="B55" s="6" t="s">
        <v>125</v>
      </c>
      <c r="F55" s="8">
        <f>SUM(F5:F54)</f>
        <v>492926.0</v>
      </c>
      <c r="H55" s="8">
        <f>SUM(H5:H54)</f>
        <v>49634.08</v>
      </c>
      <c r="I55" s="8">
        <f>SUM(I5:I54)</f>
        <v>542560.08</v>
      </c>
    </row>
    <row r="56" spans="1:10">
      <c r="B56" s="2" t="s">
        <v>126</v>
      </c>
      <c r="G56" s="9">
        <f>'Założenia'!B8</f>
        <v>0.12</v>
      </c>
      <c r="I56" s="8">
        <f>ROUND(I55*G56,2)</f>
        <v>65107.21</v>
      </c>
    </row>
    <row r="57" spans="1:10">
      <c r="B57" s="6" t="s">
        <v>127</v>
      </c>
      <c r="I57" s="8">
        <f>I55+I56</f>
        <v>607667.29</v>
      </c>
    </row>
  </sheetData>
  <autoFilter ref="A4:J54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1" max="1" width="66.7109375" customWidth="1"/>
    <col min="2" max="2" width="25.7109375" customWidth="1"/>
    <col min="3" max="3" width="66.7109375" customWidth="1"/>
  </cols>
  <sheetData>
    <row r="1" spans="1:2">
      <c r="A1" s="1" t="s">
        <v>231</v>
      </c>
    </row>
    <row r="5" spans="1:2" ht="29" customHeight="1">
      <c r="A5" s="2" t="s">
        <v>232</v>
      </c>
      <c r="B5" s="7">
        <f>'Założenia'!B4</f>
        <v>1499000</v>
      </c>
    </row>
    <row r="6" spans="1:2" ht="29" customHeight="1">
      <c r="A6" s="2" t="s">
        <v>233</v>
      </c>
      <c r="B6" s="7">
        <f>ROUND(B5*'Założenia'!B5,2)</f>
        <v>29980.0</v>
      </c>
    </row>
    <row r="7" spans="1:2" ht="29" customHeight="1">
      <c r="A7" s="2" t="s">
        <v>234</v>
      </c>
      <c r="B7" s="7">
        <f>'Założenia'!B6</f>
        <v>18000</v>
      </c>
    </row>
    <row r="8" spans="1:2" ht="29" customHeight="1">
      <c r="A8" s="2" t="s">
        <v>235</v>
      </c>
      <c r="B8" s="7">
        <f>'Remont'!I33</f>
        <v>502424.66</v>
      </c>
    </row>
    <row r="9" spans="1:2" ht="29" customHeight="1">
      <c r="A9" s="2" t="s">
        <v>236</v>
      </c>
      <c r="B9" s="7">
        <f>'Nadbudowa'!I57</f>
        <v>607667.29</v>
      </c>
    </row>
    <row r="10" spans="1:2" ht="29" customHeight="1">
      <c r="A10" s="2" t="s">
        <v>237</v>
      </c>
      <c r="B10" s="7">
        <f>'Założenia'!B14</f>
        <v>35000</v>
      </c>
    </row>
    <row r="11" spans="1:2" ht="29" customHeight="1">
      <c r="A11" s="2" t="s">
        <v>238</v>
      </c>
      <c r="B11" s="7">
        <f>'Założenia'!B12*'Założenia'!B13</f>
        <v>36000</v>
      </c>
    </row>
    <row r="12" spans="1:2" ht="29" customHeight="1">
      <c r="A12" s="2" t="s">
        <v>239</v>
      </c>
      <c r="B12" s="7">
        <f>'Założenia'!B15</f>
        <v>0</v>
      </c>
    </row>
    <row r="13" spans="1:2" ht="29" customHeight="1">
      <c r="A13" s="2" t="s">
        <v>240</v>
      </c>
      <c r="B13" s="8">
        <f>SUM(B5:B12)</f>
        <v>2728071.95</v>
      </c>
    </row>
    <row r="16" spans="1:2" ht="29" customHeight="1">
      <c r="A16" s="2" t="s">
        <v>241</v>
      </c>
      <c r="B16" s="7">
        <f>ROUND('Założenia'!B19*'Założenia'!B9,2)</f>
        <v>1147080.0</v>
      </c>
    </row>
    <row r="17" spans="1:3" ht="29" customHeight="1">
      <c r="A17" s="2" t="s">
        <v>242</v>
      </c>
      <c r="B17" s="7">
        <f>ROUND('Założenia'!B20*'Założenia'!B22,2)</f>
        <v>971355.0</v>
      </c>
    </row>
    <row r="18" spans="1:3" ht="29" customHeight="1">
      <c r="A18" s="2" t="s">
        <v>243</v>
      </c>
      <c r="B18" s="7">
        <f>'Założenia'!B10</f>
        <v>1062500</v>
      </c>
    </row>
    <row r="19" spans="1:3" ht="29" customHeight="1">
      <c r="A19" s="2" t="s">
        <v>27</v>
      </c>
      <c r="B19" s="7">
        <f>'Założenia'!B11</f>
        <v>75000</v>
      </c>
    </row>
    <row r="20" spans="1:3" ht="29" customHeight="1">
      <c r="A20" s="2" t="s">
        <v>244</v>
      </c>
      <c r="B20" s="8">
        <f>SUM(B16:B19)</f>
        <v>3255935.0</v>
      </c>
    </row>
    <row r="22" spans="1:3" ht="29" customHeight="1">
      <c r="A22" s="2" t="s">
        <v>245</v>
      </c>
      <c r="B22" s="8">
        <f>ROUND(B20*(1+'Założenia'!B17)+'Założenia'!B18,2)</f>
        <v>3345053.7</v>
      </c>
    </row>
    <row r="23" spans="1:3" ht="29" customHeight="1">
      <c r="A23" s="2" t="s">
        <v>246</v>
      </c>
      <c r="B23" s="8">
        <f>B22-B13</f>
        <v>616981.75</v>
      </c>
    </row>
    <row r="24" spans="1:3" ht="29" customHeight="1">
      <c r="A24" s="2" t="s">
        <v>247</v>
      </c>
      <c r="B24" s="9">
        <f>IFERROR(B23/B22,0)</f>
        <v>0.18444599260095584</v>
      </c>
      <c r="C24" s="2" t="s">
        <v>257</v>
      </c>
    </row>
    <row r="25" spans="1:3" ht="29" customHeight="1">
      <c r="A25" s="2" t="s">
        <v>248</v>
      </c>
      <c r="B25" s="9">
        <f>IFERROR((B20-B13)/B20,0)</f>
        <v>0.16212333784304656</v>
      </c>
    </row>
    <row r="28" spans="1:3" ht="29" customHeight="1">
      <c r="A28" s="2" t="s">
        <v>249</v>
      </c>
      <c r="B28" s="7">
        <f>B20</f>
        <v>3255935.0</v>
      </c>
    </row>
    <row r="29" spans="1:3" ht="29" customHeight="1">
      <c r="A29" s="2" t="s">
        <v>250</v>
      </c>
      <c r="B29" s="7">
        <f>ROUND(B28*'Założenia'!B16,2)</f>
        <v>80096.0</v>
      </c>
    </row>
    <row r="30" spans="1:3" ht="29" customHeight="1">
      <c r="A30" s="2" t="s">
        <v>251</v>
      </c>
      <c r="B30" s="8">
        <f>B28-B29-B13</f>
        <v>447767.05</v>
      </c>
    </row>
    <row r="31" spans="1:3" ht="29" customHeight="1">
      <c r="A31" s="2" t="s">
        <v>252</v>
      </c>
      <c r="B31" s="9">
        <f>IFERROR(B30/B13,0)</f>
        <v>0.16413315271981738</v>
      </c>
      <c r="C31" s="2" t="s">
        <v>258</v>
      </c>
    </row>
    <row r="32" spans="1:3" ht="29" customHeight="1">
      <c r="A32" s="2" t="s">
        <v>253</v>
      </c>
      <c r="B32" s="9">
        <f>IFERROR(B30/B28,0)</f>
        <v>0.13752333815017806</v>
      </c>
    </row>
    <row r="35" spans="1:2" ht="29" customHeight="1">
      <c r="A35" s="2" t="s">
        <v>254</v>
      </c>
      <c r="B35" s="7">
        <f>B13/(1-'Założenia'!B21)</f>
        <v>3410089.9375</v>
      </c>
    </row>
    <row r="36" spans="1:2" ht="29" customHeight="1">
      <c r="A36" s="2" t="s">
        <v>255</v>
      </c>
      <c r="B36" s="7">
        <f>(B35-'Założenia'!B18)/(1+'Założenia'!B17)</f>
        <v>3319696.0171568627</v>
      </c>
    </row>
    <row r="37" spans="1:2" ht="29" customHeight="1">
      <c r="A37" s="2" t="s">
        <v>256</v>
      </c>
      <c r="B37" s="7">
        <f>B13*(1+'Założenia'!B21)/(1-'Założenia'!B16)</f>
        <v>3356250.0922698383</v>
      </c>
    </row>
  </sheetData>
  <pageMargins left="0.7" right="0.7" top="0.75" bottom="0.75" header="0.3" footer="0.3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65.7109375" customWidth="1"/>
    <col min="2" max="7" width="22.7109375" customWidth="1"/>
  </cols>
  <sheetData>
    <row r="1" spans="1:7">
      <c r="A1" s="1" t="s">
        <v>259</v>
      </c>
    </row>
    <row r="2" spans="1:7">
      <c r="A2" s="2" t="s">
        <v>260</v>
      </c>
    </row>
    <row r="4" spans="1:7">
      <c r="A4" s="6" t="s">
        <v>261</v>
      </c>
      <c r="B4" s="6" t="s">
        <v>262</v>
      </c>
      <c r="C4" s="6" t="s">
        <v>263</v>
      </c>
      <c r="D4" s="6" t="s">
        <v>264</v>
      </c>
      <c r="E4" s="6" t="s">
        <v>265</v>
      </c>
      <c r="F4" s="6" t="s">
        <v>266</v>
      </c>
      <c r="G4" s="6" t="s">
        <v>267</v>
      </c>
    </row>
    <row r="5" spans="1:7" ht="45" customHeight="1">
      <c r="A5" s="2" t="s">
        <v>268</v>
      </c>
      <c r="B5" s="7">
        <v>2728071.95</v>
      </c>
      <c r="C5" s="7">
        <v>15000</v>
      </c>
      <c r="D5" s="7">
        <v>1020000</v>
      </c>
      <c r="E5" s="9">
        <v>0.1214694420801818</v>
      </c>
      <c r="F5" s="7">
        <v>218465.14</v>
      </c>
      <c r="G5" s="9">
        <v>0.08008041723386364</v>
      </c>
    </row>
    <row r="6" spans="1:7" ht="45" customHeight="1">
      <c r="A6" s="2" t="s">
        <v>269</v>
      </c>
      <c r="B6" s="7">
        <v>2728071.95</v>
      </c>
      <c r="C6" s="7">
        <v>16500</v>
      </c>
      <c r="D6" s="7">
        <v>1062500</v>
      </c>
      <c r="E6" s="9">
        <v>0.1844459926009558</v>
      </c>
      <c r="F6" s="7">
        <v>447767.05</v>
      </c>
      <c r="G6" s="9">
        <v>0.1641331527198174</v>
      </c>
    </row>
    <row r="7" spans="1:7" ht="45" customHeight="1">
      <c r="A7" s="2" t="s">
        <v>270</v>
      </c>
      <c r="B7" s="7">
        <v>2728071.95</v>
      </c>
      <c r="C7" s="7">
        <v>17000</v>
      </c>
      <c r="D7" s="7">
        <v>1062500</v>
      </c>
      <c r="E7" s="9">
        <v>0.2001038342222561</v>
      </c>
      <c r="F7" s="7">
        <v>510382.85</v>
      </c>
      <c r="G7" s="9">
        <v>0.1870855532237704</v>
      </c>
    </row>
    <row r="8" spans="1:7" ht="45" customHeight="1">
      <c r="A8" s="2" t="s">
        <v>271</v>
      </c>
      <c r="B8" s="7">
        <v>2728071.95</v>
      </c>
      <c r="C8" s="7">
        <v>17500</v>
      </c>
      <c r="D8" s="7">
        <v>1100000</v>
      </c>
      <c r="E8" s="9">
        <v>0.2237140150213636</v>
      </c>
      <c r="F8" s="7">
        <v>609576.15</v>
      </c>
      <c r="G8" s="9">
        <v>0.2234457745881666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65.7109375" customWidth="1"/>
    <col min="2" max="7" width="22.7109375" customWidth="1"/>
  </cols>
  <sheetData>
    <row r="1" spans="1:7">
      <c r="A1" s="1" t="s">
        <v>272</v>
      </c>
    </row>
    <row r="2" spans="1:7">
      <c r="A2" s="2" t="s">
        <v>260</v>
      </c>
    </row>
    <row r="4" spans="1:7">
      <c r="A4" s="6" t="s">
        <v>261</v>
      </c>
      <c r="B4" s="6" t="s">
        <v>262</v>
      </c>
      <c r="C4" s="6" t="s">
        <v>263</v>
      </c>
      <c r="D4" s="6" t="s">
        <v>264</v>
      </c>
      <c r="E4" s="6" t="s">
        <v>265</v>
      </c>
      <c r="F4" s="6" t="s">
        <v>266</v>
      </c>
      <c r="G4" s="6" t="s">
        <v>267</v>
      </c>
    </row>
    <row r="5" spans="1:7" ht="45" customHeight="1">
      <c r="A5" s="2" t="s">
        <v>273</v>
      </c>
      <c r="B5" s="7">
        <v>2894585.74</v>
      </c>
      <c r="C5" s="7">
        <v>16500</v>
      </c>
      <c r="D5" s="7">
        <v>1062500</v>
      </c>
      <c r="E5" s="9">
        <v>0.1346668844210184</v>
      </c>
      <c r="F5" s="7">
        <v>281253.26</v>
      </c>
      <c r="G5" s="9">
        <v>0.09716528901299706</v>
      </c>
    </row>
    <row r="6" spans="1:7" ht="45" customHeight="1">
      <c r="A6" s="2" t="s">
        <v>274</v>
      </c>
      <c r="B6" s="7">
        <v>2728071.95</v>
      </c>
      <c r="C6" s="7">
        <v>16500</v>
      </c>
      <c r="D6" s="7">
        <v>1062500</v>
      </c>
      <c r="E6" s="9">
        <v>0.1844459926009558</v>
      </c>
      <c r="F6" s="7">
        <v>288975.1</v>
      </c>
      <c r="G6" s="9">
        <v>0.1059264950838265</v>
      </c>
    </row>
    <row r="7" spans="1:7" ht="45" customHeight="1">
      <c r="A7" s="2" t="s">
        <v>275</v>
      </c>
      <c r="B7" s="7">
        <v>2894585.74</v>
      </c>
      <c r="C7" s="7">
        <v>16500</v>
      </c>
      <c r="D7" s="7">
        <v>1062500</v>
      </c>
      <c r="E7" s="9">
        <v>0.1346668844210184</v>
      </c>
      <c r="F7" s="7">
        <v>122461.31</v>
      </c>
      <c r="G7" s="9">
        <v>0.04230702456234722</v>
      </c>
    </row>
    <row r="8" spans="1:7" ht="45" customHeight="1">
      <c r="A8" s="2" t="s">
        <v>276</v>
      </c>
      <c r="B8" s="7">
        <v>2728071.95</v>
      </c>
      <c r="C8" s="7">
        <v>16500</v>
      </c>
      <c r="D8" s="7">
        <v>1062500</v>
      </c>
      <c r="E8" s="9">
        <v>0.1682542641851134</v>
      </c>
      <c r="F8" s="7">
        <v>447767.05</v>
      </c>
      <c r="G8" s="9">
        <v>0.1641331527198174</v>
      </c>
    </row>
    <row r="9" spans="1:7" ht="45" customHeight="1">
      <c r="A9" s="2" t="s">
        <v>277</v>
      </c>
      <c r="B9" s="7">
        <v>2783071.95</v>
      </c>
      <c r="C9" s="7">
        <v>16500</v>
      </c>
      <c r="D9" s="7">
        <v>1062500</v>
      </c>
      <c r="E9" s="9">
        <v>0.1680038051407067</v>
      </c>
      <c r="F9" s="7">
        <v>392767.05</v>
      </c>
      <c r="G9" s="9">
        <v>0.1411271634569131</v>
      </c>
    </row>
    <row r="10" spans="1:7" ht="45" customHeight="1">
      <c r="A10" s="2" t="s">
        <v>278</v>
      </c>
      <c r="B10" s="7">
        <v>2878071.95</v>
      </c>
      <c r="C10" s="7">
        <v>16500</v>
      </c>
      <c r="D10" s="7">
        <v>1062500</v>
      </c>
      <c r="E10" s="9">
        <v>0.1396036631639127</v>
      </c>
      <c r="F10" s="7">
        <v>297767.05</v>
      </c>
      <c r="G10" s="9">
        <v>0.1034605997254516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30.7109375" customWidth="1"/>
    <col min="2" max="4" width="18.7109375" customWidth="1"/>
    <col min="5" max="5" width="16.7109375" customWidth="1"/>
    <col min="6" max="8" width="65.7109375" customWidth="1"/>
  </cols>
  <sheetData>
    <row r="1" spans="1:8">
      <c r="A1" s="1" t="s">
        <v>279</v>
      </c>
    </row>
    <row r="2" spans="1:8">
      <c r="A2" s="2" t="s">
        <v>280</v>
      </c>
    </row>
    <row r="4" spans="1:8">
      <c r="A4" s="6" t="s">
        <v>281</v>
      </c>
      <c r="B4" s="6" t="s">
        <v>282</v>
      </c>
      <c r="C4" s="6" t="s">
        <v>283</v>
      </c>
      <c r="D4" s="6" t="s">
        <v>284</v>
      </c>
      <c r="E4" s="6" t="s">
        <v>285</v>
      </c>
      <c r="F4" s="6" t="s">
        <v>286</v>
      </c>
      <c r="G4" s="6" t="s">
        <v>287</v>
      </c>
      <c r="H4" s="6" t="s">
        <v>288</v>
      </c>
    </row>
    <row r="5" spans="1:8" ht="72" customHeight="1">
      <c r="A5" s="2" t="s">
        <v>289</v>
      </c>
      <c r="B5" s="10">
        <v>59</v>
      </c>
      <c r="C5" s="7">
        <v>925000</v>
      </c>
      <c r="D5" s="7">
        <f>C5/B5</f>
        <v>15677.966101694916</v>
      </c>
      <c r="E5" s="2" t="s">
        <v>290</v>
      </c>
      <c r="F5" s="2" t="s">
        <v>291</v>
      </c>
      <c r="G5" s="2" t="s">
        <v>292</v>
      </c>
      <c r="H5" s="3" t="s">
        <v>293</v>
      </c>
    </row>
    <row r="6" spans="1:8" ht="72" customHeight="1">
      <c r="A6" s="2" t="s">
        <v>294</v>
      </c>
      <c r="B6" s="10">
        <v>48</v>
      </c>
      <c r="C6" s="7">
        <v>799000</v>
      </c>
      <c r="D6" s="7">
        <f>C6/B6</f>
        <v>16645.833333333332</v>
      </c>
      <c r="E6" s="2" t="s">
        <v>295</v>
      </c>
      <c r="F6" s="2" t="s">
        <v>296</v>
      </c>
      <c r="G6" s="2" t="s">
        <v>297</v>
      </c>
      <c r="H6" s="3" t="s">
        <v>298</v>
      </c>
    </row>
    <row r="7" spans="1:8" ht="72" customHeight="1">
      <c r="A7" s="2" t="s">
        <v>299</v>
      </c>
      <c r="B7" s="10">
        <v>56</v>
      </c>
      <c r="C7" s="7">
        <v>795000</v>
      </c>
      <c r="D7" s="7">
        <f>C7/B7</f>
        <v>14196.42857142857</v>
      </c>
      <c r="E7" s="2" t="s">
        <v>300</v>
      </c>
      <c r="F7" s="2" t="s">
        <v>301</v>
      </c>
      <c r="G7" s="2" t="s">
        <v>302</v>
      </c>
      <c r="H7" s="3" t="s">
        <v>303</v>
      </c>
    </row>
    <row r="8" spans="1:8" ht="72" customHeight="1">
      <c r="A8" s="2" t="s">
        <v>304</v>
      </c>
      <c r="B8" s="10">
        <v>50</v>
      </c>
      <c r="C8" s="7">
        <v>950000</v>
      </c>
      <c r="D8" s="7">
        <f>C8/B8</f>
        <v>19000.0</v>
      </c>
      <c r="E8" s="2" t="s">
        <v>305</v>
      </c>
      <c r="F8" s="2" t="s">
        <v>306</v>
      </c>
      <c r="G8" s="2" t="s">
        <v>307</v>
      </c>
      <c r="H8" s="3" t="s">
        <v>308</v>
      </c>
    </row>
    <row r="9" spans="1:8" ht="72" customHeight="1">
      <c r="A9" s="2" t="s">
        <v>309</v>
      </c>
      <c r="B9" s="10">
        <v>48.1</v>
      </c>
      <c r="C9" s="7">
        <v>920000</v>
      </c>
      <c r="D9" s="7">
        <f>C9/B9</f>
        <v>19126.819126819126</v>
      </c>
      <c r="E9" s="2" t="s">
        <v>310</v>
      </c>
      <c r="F9" s="2" t="s">
        <v>311</v>
      </c>
      <c r="G9" s="2" t="s">
        <v>312</v>
      </c>
      <c r="H9" s="3" t="s">
        <v>293</v>
      </c>
    </row>
    <row r="10" spans="1:8" ht="72" customHeight="1">
      <c r="A10" s="2" t="s">
        <v>313</v>
      </c>
      <c r="B10" s="10">
        <v>70</v>
      </c>
      <c r="C10" s="7">
        <v>1200000</v>
      </c>
      <c r="D10" s="7">
        <f>C10/B10</f>
        <v>17142.85714285714</v>
      </c>
      <c r="E10" s="2" t="s">
        <v>314</v>
      </c>
      <c r="F10" s="2" t="s">
        <v>315</v>
      </c>
      <c r="G10" s="2" t="s">
        <v>316</v>
      </c>
      <c r="H10" s="3" t="s">
        <v>317</v>
      </c>
    </row>
  </sheetData>
  <hyperlinks>
    <hyperlink ref="H5" r:id="rId1"/>
    <hyperlink ref="H6" r:id="rId2"/>
    <hyperlink ref="H7" r:id="rId3"/>
    <hyperlink ref="H8" r:id="rId4"/>
    <hyperlink ref="H9" r:id="rId5"/>
    <hyperlink ref="H10" r:id="rId6"/>
  </hyperlink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RowHeight="15"/>
  <cols>
    <col min="1" max="1" width="8.7109375" customWidth="1"/>
    <col min="2" max="2" width="48.7109375" customWidth="1"/>
    <col min="3" max="3" width="65.7109375" customWidth="1"/>
    <col min="4" max="4" width="95.7109375" customWidth="1"/>
  </cols>
  <sheetData>
    <row r="1" spans="1:4">
      <c r="A1" s="6" t="s">
        <v>318</v>
      </c>
      <c r="B1" s="6" t="s">
        <v>288</v>
      </c>
      <c r="C1" s="6" t="s">
        <v>319</v>
      </c>
      <c r="D1" s="6" t="s">
        <v>320</v>
      </c>
    </row>
    <row r="2" spans="1:4" ht="65" customHeight="1">
      <c r="A2" t="s">
        <v>321</v>
      </c>
      <c r="B2" s="2" t="s">
        <v>322</v>
      </c>
      <c r="C2" s="3" t="s">
        <v>323</v>
      </c>
      <c r="D2" s="2" t="s">
        <v>324</v>
      </c>
    </row>
    <row r="3" spans="1:4" ht="65" customHeight="1">
      <c r="A3" t="s">
        <v>325</v>
      </c>
      <c r="B3" s="2" t="s">
        <v>326</v>
      </c>
      <c r="C3" s="3" t="s">
        <v>327</v>
      </c>
      <c r="D3" s="2" t="s">
        <v>328</v>
      </c>
    </row>
    <row r="4" spans="1:4" ht="65" customHeight="1">
      <c r="A4" t="s">
        <v>329</v>
      </c>
      <c r="B4" s="2" t="s">
        <v>330</v>
      </c>
      <c r="C4" s="3" t="s">
        <v>331</v>
      </c>
      <c r="D4" s="2" t="s">
        <v>332</v>
      </c>
    </row>
    <row r="5" spans="1:4" ht="65" customHeight="1">
      <c r="A5" t="s">
        <v>333</v>
      </c>
      <c r="B5" s="2" t="s">
        <v>334</v>
      </c>
      <c r="C5" s="3" t="s">
        <v>335</v>
      </c>
      <c r="D5" s="2" t="s">
        <v>336</v>
      </c>
    </row>
    <row r="6" spans="1:4" ht="65" customHeight="1">
      <c r="A6" t="s">
        <v>337</v>
      </c>
      <c r="B6" s="2" t="s">
        <v>338</v>
      </c>
      <c r="C6" s="3" t="s">
        <v>339</v>
      </c>
      <c r="D6" s="2" t="s">
        <v>340</v>
      </c>
    </row>
    <row r="7" spans="1:4" ht="65" customHeight="1">
      <c r="A7" t="s">
        <v>341</v>
      </c>
      <c r="B7" s="2" t="s">
        <v>342</v>
      </c>
      <c r="C7" s="3" t="s">
        <v>343</v>
      </c>
      <c r="D7" s="2" t="s">
        <v>344</v>
      </c>
    </row>
    <row r="8" spans="1:4" ht="65" customHeight="1">
      <c r="A8" t="s">
        <v>345</v>
      </c>
      <c r="B8" s="2" t="s">
        <v>346</v>
      </c>
      <c r="C8" s="3" t="s">
        <v>347</v>
      </c>
      <c r="D8" s="2" t="s">
        <v>348</v>
      </c>
    </row>
    <row r="9" spans="1:4" ht="65" customHeight="1">
      <c r="A9" t="s">
        <v>349</v>
      </c>
      <c r="B9" s="2" t="s">
        <v>350</v>
      </c>
      <c r="C9" s="3" t="s">
        <v>351</v>
      </c>
      <c r="D9" s="2" t="s">
        <v>352</v>
      </c>
    </row>
    <row r="10" spans="1:4" ht="65" customHeight="1">
      <c r="A10" t="s">
        <v>353</v>
      </c>
      <c r="B10" s="2" t="s">
        <v>354</v>
      </c>
      <c r="C10" s="3" t="s">
        <v>355</v>
      </c>
      <c r="D10" s="2" t="s">
        <v>356</v>
      </c>
    </row>
    <row r="11" spans="1:4" ht="65" customHeight="1">
      <c r="A11" t="s">
        <v>357</v>
      </c>
      <c r="B11" s="2" t="s">
        <v>358</v>
      </c>
      <c r="C11" s="3" t="s">
        <v>359</v>
      </c>
      <c r="D11" s="2" t="s">
        <v>360</v>
      </c>
    </row>
    <row r="12" spans="1:4" ht="65" customHeight="1">
      <c r="A12" t="s">
        <v>361</v>
      </c>
      <c r="B12" s="2" t="s">
        <v>362</v>
      </c>
      <c r="C12" s="3" t="s">
        <v>363</v>
      </c>
      <c r="D12" s="2" t="s">
        <v>364</v>
      </c>
    </row>
    <row r="13" spans="1:4" ht="65" customHeight="1">
      <c r="A13" t="s">
        <v>365</v>
      </c>
      <c r="B13" s="2" t="s">
        <v>366</v>
      </c>
      <c r="C13" s="3" t="s">
        <v>367</v>
      </c>
      <c r="D13" s="2" t="s">
        <v>368</v>
      </c>
    </row>
    <row r="14" spans="1:4" ht="65" customHeight="1">
      <c r="A14" t="s">
        <v>369</v>
      </c>
      <c r="B14" s="2" t="s">
        <v>370</v>
      </c>
      <c r="C14" s="3" t="s">
        <v>371</v>
      </c>
      <c r="D14" s="2" t="s">
        <v>372</v>
      </c>
    </row>
    <row r="15" spans="1:4" ht="65" customHeight="1">
      <c r="A15" t="s">
        <v>373</v>
      </c>
      <c r="B15" s="2" t="s">
        <v>374</v>
      </c>
      <c r="C15" s="3" t="s">
        <v>375</v>
      </c>
      <c r="D15" s="2" t="s">
        <v>376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</hyperlink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Czytaj najpierw</vt:lpstr>
      <vt:lpstr>Założenia</vt:lpstr>
      <vt:lpstr>Remont</vt:lpstr>
      <vt:lpstr>Nadbudowa</vt:lpstr>
      <vt:lpstr>Kalkulacja</vt:lpstr>
      <vt:lpstr>Scenariusze</vt:lpstr>
      <vt:lpstr>Wrażliwość</vt:lpstr>
      <vt:lpstr>Rynek</vt:lpstr>
      <vt:lpstr>Źródła</vt:lpstr>
      <vt:lpstr>Nadbudowa!Print_Area</vt:lpstr>
      <vt:lpstr>Remont!Print_Area</vt:lpstr>
      <vt:lpstr>Nadbudowa!Print_Titles</vt:lpstr>
      <vt:lpstr>Remont!Print_Titles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Sztuki 15 — kosztorys i porównanie inwestycji</dc:title>
  <dc:subject>Remont domu, nadbudowa 50 m² i taras na dachu 50 m²</dc:subject>
  <dc:creator>Chibi — astra-chibi-domi</dc:creator>
  <dc:description>Analiza warunkowa; nie jest ofertą wykonawczą ani gwarancją ROI.</dc:description>
  <cp:lastModifiedBy>Chibi — astra-chibi-domi</cp:lastModifiedBy>
  <dcterms:created xsi:type="dcterms:W3CDTF">2026-09-10T20:23:44Z</dcterms:created>
  <dcterms:modified xsi:type="dcterms:W3CDTF">2026-09-10T20:23:44Z</dcterms:modified>
</cp:coreProperties>
</file>